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5" yWindow="-15" windowWidth="4830" windowHeight="12015"/>
  </bookViews>
  <sheets>
    <sheet name="TITLE" sheetId="26" r:id="rId1"/>
    <sheet name="REV SUMMARY" sheetId="1" r:id="rId2"/>
    <sheet name="Chart1" sheetId="40" r:id="rId3"/>
    <sheet name="1TIER BCCRT" sheetId="41" r:id="rId4"/>
    <sheet name="1 TIER SCCRT" sheetId="42" r:id="rId5"/>
    <sheet name="1 TIER CIG&amp;LIQ" sheetId="43" r:id="rId6"/>
    <sheet name="1 TIER RPTT" sheetId="44" r:id="rId7"/>
    <sheet name="1 TIER MVPT" sheetId="45" r:id="rId8"/>
    <sheet name="CC 2 TIER" sheetId="2" r:id="rId9"/>
    <sheet name="CH 2 TIER" sheetId="3" r:id="rId10"/>
    <sheet name="CL 2 TIER" sheetId="4" r:id="rId11"/>
    <sheet name="DO 2 TIER" sheetId="5" r:id="rId12"/>
    <sheet name="EL 2 TIER" sheetId="6" r:id="rId13"/>
    <sheet name="ES 2 TIER" sheetId="7" r:id="rId14"/>
    <sheet name="EU 2 TIER" sheetId="8" r:id="rId15"/>
    <sheet name="HU 2 TIER" sheetId="9" r:id="rId16"/>
    <sheet name="LA 2 TIER" sheetId="10" r:id="rId17"/>
    <sheet name="LI 2 TIER" sheetId="11" r:id="rId18"/>
    <sheet name="LY 2 TIER" sheetId="12" r:id="rId19"/>
    <sheet name="MI 2 TIER" sheetId="13" r:id="rId20"/>
    <sheet name="NYE 2 TIER" sheetId="47" r:id="rId21"/>
    <sheet name="PE 2 TIER" sheetId="15" r:id="rId22"/>
    <sheet name="ST 2 TIER" sheetId="16" r:id="rId23"/>
    <sheet name="WA 2 TIER (Revised 3-27)" sheetId="17" state="hidden" r:id="rId24"/>
    <sheet name="WA IL (Revised 3-27)" sheetId="50" r:id="rId25"/>
    <sheet name="WP TIER 2" sheetId="48" state="hidden" r:id="rId26"/>
    <sheet name="WP IL " sheetId="46" r:id="rId27"/>
    <sheet name="WP 2 TIER" sheetId="18" state="hidden" r:id="rId28"/>
    <sheet name="NOTES" sheetId="27" r:id="rId29"/>
    <sheet name="Population" sheetId="31" r:id="rId30"/>
    <sheet name="Data Base" sheetId="19" r:id="rId31"/>
    <sheet name="BASE CALC" sheetId="32" r:id="rId32"/>
    <sheet name="CPI Calc" sheetId="49" r:id="rId33"/>
  </sheets>
  <externalReferences>
    <externalReference r:id="rId34"/>
  </externalReferences>
  <definedNames>
    <definedName name="_xlnm.Print_Area" localSheetId="5">'1 TIER CIG&amp;LIQ'!$A$1:$G$40</definedName>
    <definedName name="_xlnm.Print_Area" localSheetId="7">'1 TIER MVPT'!$A$1:$G$31</definedName>
    <definedName name="_xlnm.Print_Area" localSheetId="6">'1 TIER RPTT'!$A$1:$J$40</definedName>
    <definedName name="_xlnm.Print_Area" localSheetId="4">'1 TIER SCCRT'!$A$1:$W$37</definedName>
    <definedName name="_xlnm.Print_Area" localSheetId="3">'1TIER BCCRT'!$A$1:$H$37</definedName>
    <definedName name="_xlnm.Print_Area" localSheetId="8">'CC 2 TIER'!$B$1:$P$22</definedName>
    <definedName name="_xlnm.Print_Area" localSheetId="9">'CH 2 TIER'!$B$1:$P$25</definedName>
    <definedName name="_xlnm.Print_Area" localSheetId="10">'CL 2 TIER'!$A$1:$P$43</definedName>
    <definedName name="_xlnm.Print_Area" localSheetId="30">'Data Base'!$A$1:$AP$212</definedName>
    <definedName name="_xlnm.Print_Area" localSheetId="11">'DO 2 TIER'!$B$6:$P$44</definedName>
    <definedName name="_xlnm.Print_Area" localSheetId="12">'EL 2 TIER'!$B$1:$P$31</definedName>
    <definedName name="_xlnm.Print_Area" localSheetId="13">'ES 2 TIER'!$B$1:$P$19</definedName>
    <definedName name="_xlnm.Print_Area" localSheetId="14">'EU 2 TIER'!$B$1:$P$26</definedName>
    <definedName name="_xlnm.Print_Area" localSheetId="15">'HU 2 TIER'!$B$1:$P$29</definedName>
    <definedName name="_xlnm.Print_Area" localSheetId="16">'LA 2 TIER'!$B$1:$P$26</definedName>
    <definedName name="_xlnm.Print_Area" localSheetId="17">'LI 2 TIER'!$B$1:$P$28</definedName>
    <definedName name="_xlnm.Print_Area" localSheetId="18">'LY 2 TIER'!$B$1:$P$35</definedName>
    <definedName name="_xlnm.Print_Area" localSheetId="19">'MI 2 TIER'!$B$1:$P$20</definedName>
    <definedName name="_xlnm.Print_Area" localSheetId="20">'NYE 2 TIER'!$A$1:$P$39</definedName>
    <definedName name="_xlnm.Print_Area" localSheetId="21">'PE 2 TIER'!$B$1:$P$23</definedName>
    <definedName name="_xlnm.Print_Area" localSheetId="29">Population!$A$1:$AP$202</definedName>
    <definedName name="_xlnm.Print_Area" localSheetId="1">'REV SUMMARY'!$A$1:$H$25</definedName>
    <definedName name="_xlnm.Print_Area" localSheetId="22">'ST 2 TIER'!$B$1:$P$21</definedName>
    <definedName name="_xlnm.Print_Area" localSheetId="0">TITLE!$C$5:$C$10</definedName>
    <definedName name="_xlnm.Print_Area" localSheetId="23">'WA 2 TIER (Revised 3-27)'!$B$1:$P$34</definedName>
    <definedName name="_xlnm.Print_Area" localSheetId="24">'WA IL (Revised 3-27)'!$B$1:$P$34</definedName>
    <definedName name="_xlnm.Print_Area" localSheetId="25">'WP TIER 2'!$A$1:$P$25</definedName>
    <definedName name="_xlnm.Print_Titles" localSheetId="4">'1 TIER SCCRT'!$A:$A</definedName>
    <definedName name="_xlnm.Print_Titles" localSheetId="31">'BASE CALC'!$3:$7</definedName>
    <definedName name="_xlnm.Print_Titles" localSheetId="8">'CC 2 TIER'!$A:$A</definedName>
    <definedName name="_xlnm.Print_Titles" localSheetId="9">'CH 2 TIER'!$A:$A</definedName>
    <definedName name="_xlnm.Print_Titles" localSheetId="10">'CL 2 TIER'!$A:$A</definedName>
    <definedName name="_xlnm.Print_Titles" localSheetId="30">'Data Base'!$A:$A,'Data Base'!$1:$7</definedName>
    <definedName name="_xlnm.Print_Titles" localSheetId="11">'DO 2 TIER'!$A:$A,'DO 2 TIER'!$1:$5</definedName>
    <definedName name="_xlnm.Print_Titles" localSheetId="12">'EL 2 TIER'!$A:$A</definedName>
    <definedName name="_xlnm.Print_Titles" localSheetId="13">'ES 2 TIER'!$A:$A</definedName>
    <definedName name="_xlnm.Print_Titles" localSheetId="14">'EU 2 TIER'!$A:$A</definedName>
    <definedName name="_xlnm.Print_Titles" localSheetId="15">'HU 2 TIER'!$A:$A</definedName>
    <definedName name="_xlnm.Print_Titles" localSheetId="16">'LA 2 TIER'!$A:$A</definedName>
    <definedName name="_xlnm.Print_Titles" localSheetId="17">'LI 2 TIER'!$A:$A</definedName>
    <definedName name="_xlnm.Print_Titles" localSheetId="18">'LY 2 TIER'!$A:$A</definedName>
    <definedName name="_xlnm.Print_Titles" localSheetId="19">'MI 2 TIER'!$A:$A</definedName>
    <definedName name="_xlnm.Print_Titles" localSheetId="20">'NYE 2 TIER'!$A:$A</definedName>
    <definedName name="_xlnm.Print_Titles" localSheetId="21">'PE 2 TIER'!$A:$A</definedName>
    <definedName name="_xlnm.Print_Titles" localSheetId="29">Population!$A:$A,Population!$1:$4</definedName>
    <definedName name="_xlnm.Print_Titles" localSheetId="1">'REV SUMMARY'!$A:$A</definedName>
    <definedName name="_xlnm.Print_Titles" localSheetId="22">'ST 2 TIER'!$A:$A</definedName>
    <definedName name="_xlnm.Print_Titles" localSheetId="23">'WA 2 TIER (Revised 3-27)'!$A:$A</definedName>
    <definedName name="_xlnm.Print_Titles" localSheetId="24">'WA IL (Revised 3-27)'!$A:$A</definedName>
    <definedName name="_xlnm.Print_Titles" localSheetId="27">'WP 2 TIER'!$A:$A</definedName>
    <definedName name="_xlnm.Print_Titles" localSheetId="26">'WP IL '!$A:$A</definedName>
    <definedName name="_xlnm.Print_Titles" localSheetId="25">'WP TIER 2'!$A:$A</definedName>
  </definedNames>
  <calcPr calcId="145621"/>
</workbook>
</file>

<file path=xl/calcChain.xml><?xml version="1.0" encoding="utf-8"?>
<calcChain xmlns="http://schemas.openxmlformats.org/spreadsheetml/2006/main">
  <c r="AP5" i="31" l="1"/>
  <c r="B5" i="49" l="1"/>
  <c r="B173" i="19" l="1"/>
  <c r="B69" i="19"/>
  <c r="B29" i="19"/>
  <c r="AP11" i="31"/>
  <c r="AP12" i="31"/>
  <c r="AP17" i="31"/>
  <c r="AP18" i="31"/>
  <c r="AP19" i="31"/>
  <c r="AP20" i="31"/>
  <c r="AP21" i="31"/>
  <c r="AP22" i="31"/>
  <c r="AP23" i="31"/>
  <c r="AP24" i="31"/>
  <c r="AP26" i="31"/>
  <c r="AP27" i="31"/>
  <c r="AP28" i="31"/>
  <c r="AP29" i="31"/>
  <c r="AP30" i="31"/>
  <c r="AP31" i="31"/>
  <c r="AP32" i="31"/>
  <c r="AP33" i="31"/>
  <c r="AP34" i="31"/>
  <c r="AP44" i="31"/>
  <c r="AP45" i="31"/>
  <c r="AP46" i="31"/>
  <c r="AP47" i="31"/>
  <c r="AP74" i="31"/>
  <c r="AP75" i="31"/>
  <c r="AP76" i="31"/>
  <c r="AP77" i="31"/>
  <c r="AP78" i="31"/>
  <c r="AP79" i="31"/>
  <c r="AP80" i="31"/>
  <c r="AP81" i="31"/>
  <c r="AP87" i="31"/>
  <c r="AP88" i="31"/>
  <c r="AP89" i="31"/>
  <c r="AP93" i="31"/>
  <c r="AP94" i="31"/>
  <c r="AP95" i="31"/>
  <c r="AP102" i="31"/>
  <c r="AP103" i="31"/>
  <c r="AP114" i="31"/>
  <c r="AP115" i="31"/>
  <c r="AP116" i="31"/>
  <c r="AP117" i="31"/>
  <c r="AP123" i="31"/>
  <c r="AP124" i="31"/>
  <c r="AP125" i="31"/>
  <c r="AP126" i="31"/>
  <c r="AP127" i="31"/>
  <c r="AP134" i="31"/>
  <c r="AP135" i="31"/>
  <c r="AP136" i="31"/>
  <c r="AP150" i="31"/>
  <c r="AP153" i="31"/>
  <c r="AP154" i="31"/>
  <c r="AP155" i="31"/>
  <c r="AP156" i="31"/>
  <c r="AP157" i="31"/>
  <c r="AP158" i="31"/>
  <c r="AP159" i="31"/>
  <c r="AP160" i="31"/>
  <c r="AP172" i="31"/>
  <c r="AP173" i="31"/>
  <c r="AP178" i="31"/>
  <c r="AP183" i="31"/>
  <c r="AP184" i="31"/>
  <c r="AP185" i="31"/>
  <c r="AP197" i="31"/>
  <c r="AP198" i="31"/>
  <c r="AP199" i="31"/>
  <c r="AP200" i="31"/>
  <c r="AP201" i="31"/>
  <c r="B122" i="32"/>
  <c r="B186" i="32"/>
  <c r="B322" i="32" l="1"/>
  <c r="B305" i="32"/>
  <c r="B307" i="32" s="1"/>
  <c r="B283" i="32"/>
  <c r="B274" i="32"/>
  <c r="B263" i="32"/>
  <c r="B239" i="32"/>
  <c r="B228" i="32"/>
  <c r="B230" i="32" s="1"/>
  <c r="B205" i="32"/>
  <c r="B188" i="32"/>
  <c r="B170" i="32"/>
  <c r="B149" i="32"/>
  <c r="B151" i="32" s="1"/>
  <c r="B133" i="32"/>
  <c r="B124" i="32"/>
  <c r="B101" i="32"/>
  <c r="B103" i="32" s="1"/>
  <c r="B64" i="32"/>
  <c r="B62" i="32"/>
  <c r="B27" i="32"/>
  <c r="B15" i="32"/>
  <c r="AO134" i="31"/>
  <c r="AO135" i="31"/>
  <c r="AO136" i="31"/>
  <c r="AO150" i="31"/>
  <c r="AO153" i="31"/>
  <c r="AO154" i="31"/>
  <c r="AO155" i="31"/>
  <c r="AO156" i="31"/>
  <c r="AO157" i="31"/>
  <c r="AO158" i="31"/>
  <c r="AO159" i="31"/>
  <c r="AO160" i="31"/>
  <c r="AO172" i="31"/>
  <c r="AO173" i="31"/>
  <c r="AO178" i="31"/>
  <c r="AO183" i="31"/>
  <c r="AO184" i="31"/>
  <c r="AO185" i="31"/>
  <c r="AO197" i="31"/>
  <c r="AO198" i="31"/>
  <c r="AO199" i="31"/>
  <c r="AO200" i="31"/>
  <c r="AO201" i="31"/>
  <c r="AO26" i="31"/>
  <c r="AO27" i="31"/>
  <c r="AO28" i="31"/>
  <c r="AO29" i="31"/>
  <c r="AO30" i="31"/>
  <c r="AO31" i="31"/>
  <c r="AO32" i="31"/>
  <c r="AO33" i="31"/>
  <c r="AO34" i="31"/>
  <c r="AO44" i="31"/>
  <c r="AO45" i="31"/>
  <c r="AO46" i="31"/>
  <c r="AO47" i="31"/>
  <c r="AO74" i="31"/>
  <c r="AO75" i="31"/>
  <c r="AO76" i="31"/>
  <c r="AO77" i="31"/>
  <c r="AO78" i="31"/>
  <c r="AO79" i="31"/>
  <c r="AO80" i="31"/>
  <c r="AO81" i="31"/>
  <c r="AO87" i="31"/>
  <c r="AO88" i="31"/>
  <c r="AO89" i="31"/>
  <c r="AO93" i="31"/>
  <c r="AO94" i="31"/>
  <c r="AO95" i="31"/>
  <c r="AO102" i="31"/>
  <c r="AO103" i="31"/>
  <c r="AO114" i="31"/>
  <c r="AO115" i="31"/>
  <c r="AO116" i="31"/>
  <c r="AO117" i="31"/>
  <c r="AO123" i="31"/>
  <c r="AO124" i="31"/>
  <c r="AO125" i="31"/>
  <c r="AO126" i="31"/>
  <c r="AO127" i="31"/>
  <c r="AO25" i="31"/>
  <c r="AO11" i="31"/>
  <c r="AO12" i="31"/>
  <c r="AO17" i="31"/>
  <c r="AO18" i="31"/>
  <c r="AO19" i="31"/>
  <c r="AO20" i="31"/>
  <c r="AO21" i="31"/>
  <c r="AO22" i="31"/>
  <c r="AO23" i="31"/>
  <c r="AO24" i="31"/>
  <c r="AO5" i="31"/>
  <c r="AN198" i="31"/>
  <c r="AN199" i="31"/>
  <c r="AN200" i="31"/>
  <c r="AN201" i="31"/>
  <c r="AN197" i="31"/>
  <c r="AN184" i="31"/>
  <c r="AN185" i="31"/>
  <c r="AN183" i="31"/>
  <c r="AN178" i="31"/>
  <c r="AN173" i="31"/>
  <c r="AN172" i="31"/>
  <c r="AN154" i="31"/>
  <c r="AN155" i="31"/>
  <c r="AN156" i="31"/>
  <c r="AN157" i="31"/>
  <c r="AN158" i="31"/>
  <c r="AN159" i="31"/>
  <c r="AN160" i="31"/>
  <c r="AN153" i="31"/>
  <c r="AN150" i="31"/>
  <c r="AN135" i="31"/>
  <c r="AN136" i="31"/>
  <c r="AN134" i="31"/>
  <c r="AN124" i="31"/>
  <c r="AN125" i="31"/>
  <c r="AN126" i="31"/>
  <c r="AN127" i="31"/>
  <c r="AN123" i="31"/>
  <c r="AN115" i="31"/>
  <c r="AN116" i="31"/>
  <c r="AN117" i="31"/>
  <c r="AN114" i="31"/>
  <c r="AN103" i="31"/>
  <c r="AN102" i="31"/>
  <c r="AN94" i="31"/>
  <c r="AN95" i="31"/>
  <c r="AN93" i="31"/>
  <c r="AN88" i="31"/>
  <c r="AN89" i="31"/>
  <c r="AN87" i="31"/>
  <c r="AN75" i="31"/>
  <c r="AN76" i="31"/>
  <c r="AN77" i="31"/>
  <c r="AN78" i="31"/>
  <c r="AN79" i="31"/>
  <c r="AN80" i="31"/>
  <c r="AN81" i="31"/>
  <c r="AN74" i="31"/>
  <c r="AN45" i="31"/>
  <c r="AN46" i="31"/>
  <c r="AN47" i="31"/>
  <c r="AN44" i="31"/>
  <c r="AN18" i="31"/>
  <c r="AN19" i="31"/>
  <c r="AN20" i="31"/>
  <c r="AN21" i="31"/>
  <c r="AN22" i="31"/>
  <c r="AN23" i="31"/>
  <c r="AN24" i="31"/>
  <c r="AN26" i="31"/>
  <c r="AN27" i="31"/>
  <c r="AN28" i="31"/>
  <c r="AN29" i="31"/>
  <c r="AN30" i="31"/>
  <c r="AN31" i="31"/>
  <c r="AN32" i="31"/>
  <c r="AN33" i="31"/>
  <c r="AN34" i="31"/>
  <c r="AN17" i="31"/>
  <c r="AN12" i="31"/>
  <c r="AN11" i="31"/>
  <c r="AN5" i="31"/>
  <c r="AP70" i="19"/>
  <c r="AP71" i="19"/>
  <c r="AP72" i="19"/>
  <c r="AP73" i="19"/>
  <c r="AP74" i="19"/>
  <c r="AP75" i="19"/>
  <c r="AP76" i="19"/>
  <c r="AP80" i="19"/>
  <c r="AP81" i="19"/>
  <c r="AP82" i="19"/>
  <c r="AP83" i="19"/>
  <c r="AP84" i="19"/>
  <c r="AP85" i="19"/>
  <c r="AP86" i="19"/>
  <c r="AP87" i="19"/>
  <c r="AP88" i="19"/>
  <c r="AP89" i="19"/>
  <c r="AP93" i="19"/>
  <c r="AP94" i="19"/>
  <c r="AP95" i="19"/>
  <c r="AP99" i="19"/>
  <c r="AP100" i="19"/>
  <c r="AP101" i="19"/>
  <c r="AP102" i="19"/>
  <c r="AP103" i="19"/>
  <c r="AP104" i="19"/>
  <c r="AP108" i="19"/>
  <c r="AP109" i="19"/>
  <c r="AP110" i="19"/>
  <c r="AP111" i="19"/>
  <c r="AP112" i="19"/>
  <c r="AP113" i="19"/>
  <c r="AP114" i="19"/>
  <c r="AP115" i="19"/>
  <c r="AP116" i="19"/>
  <c r="AP117" i="19"/>
  <c r="AP118" i="19"/>
  <c r="AP122" i="19"/>
  <c r="AP123" i="19"/>
  <c r="AP124" i="19"/>
  <c r="AP125" i="19"/>
  <c r="AP126" i="19"/>
  <c r="AP127" i="19"/>
  <c r="AP131" i="19"/>
  <c r="AP132" i="19"/>
  <c r="AP133" i="19"/>
  <c r="AP134" i="19"/>
  <c r="AP135" i="19"/>
  <c r="AP136" i="19"/>
  <c r="AP137" i="19"/>
  <c r="AP138" i="19"/>
  <c r="AP142" i="19"/>
  <c r="AP143" i="19"/>
  <c r="AP144" i="19"/>
  <c r="AP145" i="19"/>
  <c r="AP146" i="19"/>
  <c r="AP147" i="19"/>
  <c r="AP148" i="19"/>
  <c r="AP149" i="19"/>
  <c r="AP150" i="19"/>
  <c r="AP151" i="19"/>
  <c r="AP152" i="19"/>
  <c r="AP153" i="19"/>
  <c r="AP154" i="19"/>
  <c r="AP158" i="19"/>
  <c r="AP159" i="19"/>
  <c r="AP163" i="19"/>
  <c r="AP164" i="19"/>
  <c r="AP165" i="19"/>
  <c r="AP166" i="19"/>
  <c r="AP167" i="19"/>
  <c r="AP168" i="19"/>
  <c r="AP169" i="19"/>
  <c r="AP170" i="19"/>
  <c r="AP171" i="19"/>
  <c r="AP172" i="19"/>
  <c r="AP175" i="19"/>
  <c r="AP176" i="19"/>
  <c r="AP177" i="19"/>
  <c r="AP178" i="19"/>
  <c r="AP182" i="19"/>
  <c r="AP183" i="19"/>
  <c r="AP184" i="19"/>
  <c r="AP188" i="19"/>
  <c r="AP189" i="19"/>
  <c r="AP193" i="19"/>
  <c r="AP194" i="19"/>
  <c r="AP195" i="19"/>
  <c r="AP196" i="19"/>
  <c r="AP197" i="19"/>
  <c r="AP198" i="19"/>
  <c r="AP199" i="19"/>
  <c r="AP200" i="19"/>
  <c r="AP201" i="19"/>
  <c r="AP202" i="19"/>
  <c r="AP203" i="19"/>
  <c r="AP207" i="19"/>
  <c r="AP208" i="19"/>
  <c r="AP209" i="19"/>
  <c r="AP210" i="19"/>
  <c r="AP211" i="19"/>
  <c r="AP212" i="19"/>
  <c r="AP9" i="19"/>
  <c r="AP10" i="19"/>
  <c r="AP8" i="19"/>
  <c r="AP51" i="19"/>
  <c r="AP52" i="19"/>
  <c r="AP53" i="19"/>
  <c r="AP54" i="19"/>
  <c r="AP55" i="19"/>
  <c r="AP56" i="19"/>
  <c r="AP57" i="19"/>
  <c r="AP58" i="19"/>
  <c r="AP59" i="19"/>
  <c r="AP60" i="19"/>
  <c r="AP61" i="19"/>
  <c r="AP62" i="19"/>
  <c r="AP63" i="19"/>
  <c r="AP64" i="19"/>
  <c r="AP65" i="19"/>
  <c r="AP66" i="19"/>
  <c r="AP67" i="19"/>
  <c r="AP68" i="19"/>
  <c r="AP50" i="19"/>
  <c r="AP31" i="19"/>
  <c r="AP32" i="19"/>
  <c r="AP33" i="19"/>
  <c r="AP34" i="19"/>
  <c r="AP35" i="19"/>
  <c r="AP36" i="19"/>
  <c r="AP37" i="19"/>
  <c r="AP38" i="19"/>
  <c r="AP39" i="19"/>
  <c r="AP40" i="19"/>
  <c r="AP41" i="19"/>
  <c r="AP42" i="19"/>
  <c r="AP43" i="19"/>
  <c r="AP44" i="19"/>
  <c r="AP45" i="19"/>
  <c r="AP30" i="19"/>
  <c r="AP22" i="19"/>
  <c r="AP23" i="19"/>
  <c r="AP24" i="19"/>
  <c r="AP25" i="19"/>
  <c r="AP26" i="19"/>
  <c r="AP27" i="19"/>
  <c r="AP28" i="19"/>
  <c r="AP21" i="19"/>
  <c r="AP15" i="19"/>
  <c r="AP16" i="19"/>
  <c r="AP17" i="19"/>
  <c r="AP14" i="19"/>
  <c r="E31" i="32" l="1"/>
  <c r="A25" i="48" l="1"/>
  <c r="H18" i="48" l="1"/>
  <c r="H17" i="48"/>
  <c r="H16" i="48"/>
  <c r="H14" i="48"/>
  <c r="H12" i="48"/>
  <c r="G20" i="17" l="1"/>
  <c r="G19" i="17"/>
  <c r="G17" i="17"/>
  <c r="C3" i="48" l="1"/>
  <c r="C3" i="17"/>
  <c r="AN212" i="19"/>
  <c r="AN211" i="19"/>
  <c r="AN210" i="19"/>
  <c r="AN209" i="19"/>
  <c r="AN208" i="19"/>
  <c r="AN207" i="19"/>
  <c r="AN203" i="19"/>
  <c r="AN202" i="19"/>
  <c r="AN201" i="19"/>
  <c r="AN200" i="19"/>
  <c r="AN199" i="19"/>
  <c r="AN198" i="19"/>
  <c r="AN197" i="19"/>
  <c r="AN196" i="19"/>
  <c r="AN195" i="19"/>
  <c r="AN194" i="19"/>
  <c r="AN193" i="19"/>
  <c r="AN189" i="19"/>
  <c r="AN188" i="19"/>
  <c r="AN184" i="19"/>
  <c r="AN183" i="19"/>
  <c r="AN182" i="19"/>
  <c r="AN178" i="19"/>
  <c r="AN177" i="19"/>
  <c r="AN176" i="19"/>
  <c r="AN175" i="19"/>
  <c r="AN172" i="19"/>
  <c r="AN171" i="19"/>
  <c r="AN170" i="19"/>
  <c r="AN169" i="19"/>
  <c r="AN168" i="19"/>
  <c r="AN167" i="19"/>
  <c r="AN166" i="19"/>
  <c r="AN165" i="19"/>
  <c r="AN164" i="19"/>
  <c r="AN163" i="19"/>
  <c r="AN159" i="19"/>
  <c r="AN158" i="19"/>
  <c r="AN154" i="19"/>
  <c r="AN153" i="19"/>
  <c r="AN152" i="19"/>
  <c r="AN151" i="19"/>
  <c r="AN150" i="19"/>
  <c r="AN149" i="19"/>
  <c r="AN148" i="19"/>
  <c r="AN147" i="19"/>
  <c r="AN146" i="19"/>
  <c r="AN145" i="19"/>
  <c r="AN144" i="19"/>
  <c r="AN143" i="19"/>
  <c r="AN142" i="19"/>
  <c r="AN138" i="19"/>
  <c r="AN137" i="19"/>
  <c r="AN136" i="19"/>
  <c r="AN135" i="19"/>
  <c r="AN134" i="19"/>
  <c r="AN133" i="19"/>
  <c r="AN132" i="19"/>
  <c r="AN131" i="19"/>
  <c r="AN127" i="19"/>
  <c r="AN126" i="19"/>
  <c r="AN125" i="19"/>
  <c r="AN124" i="19"/>
  <c r="AN123" i="19"/>
  <c r="AN122" i="19"/>
  <c r="AN118" i="19"/>
  <c r="AN117" i="19"/>
  <c r="AN116" i="19"/>
  <c r="AN115" i="19"/>
  <c r="AN114" i="19"/>
  <c r="AN113" i="19"/>
  <c r="AN112" i="19"/>
  <c r="AN111" i="19"/>
  <c r="AN110" i="19"/>
  <c r="AN109" i="19"/>
  <c r="AN108" i="19"/>
  <c r="AN104" i="19"/>
  <c r="AN103" i="19"/>
  <c r="AN102" i="19"/>
  <c r="AN101" i="19"/>
  <c r="AN100" i="19"/>
  <c r="AN99" i="19"/>
  <c r="AN95" i="19"/>
  <c r="AN94" i="19"/>
  <c r="AN93" i="19"/>
  <c r="AN89" i="19"/>
  <c r="AN88" i="19"/>
  <c r="AN87" i="19"/>
  <c r="AN86" i="19"/>
  <c r="AN85" i="19"/>
  <c r="AN84" i="19"/>
  <c r="AN83" i="19"/>
  <c r="AN82" i="19"/>
  <c r="AN81" i="19"/>
  <c r="AN80" i="19"/>
  <c r="AN76" i="19"/>
  <c r="AN75" i="19"/>
  <c r="AN74" i="19"/>
  <c r="AN73" i="19"/>
  <c r="AN72" i="19"/>
  <c r="AN71" i="19"/>
  <c r="AN70" i="19"/>
  <c r="AN68" i="19"/>
  <c r="AN67" i="19"/>
  <c r="AN66" i="19"/>
  <c r="AN65" i="19"/>
  <c r="AN64" i="19"/>
  <c r="AN63" i="19"/>
  <c r="AN62" i="19"/>
  <c r="AN61" i="19"/>
  <c r="AN60" i="19"/>
  <c r="AN59" i="19"/>
  <c r="AN58" i="19"/>
  <c r="AN57" i="19"/>
  <c r="AN56" i="19"/>
  <c r="AN55" i="19"/>
  <c r="AN54" i="19"/>
  <c r="AN53" i="19"/>
  <c r="AN52" i="19"/>
  <c r="AN51" i="19"/>
  <c r="AN50" i="19"/>
  <c r="AN45" i="19"/>
  <c r="AN44" i="19"/>
  <c r="AN43" i="19"/>
  <c r="AN42" i="19"/>
  <c r="AN41" i="19"/>
  <c r="AN40" i="19"/>
  <c r="AN39" i="19"/>
  <c r="AN38" i="19"/>
  <c r="AN37" i="19"/>
  <c r="AN36" i="19"/>
  <c r="AN35" i="19"/>
  <c r="AN34" i="19"/>
  <c r="AN33" i="19"/>
  <c r="AN32" i="19"/>
  <c r="AN31" i="19"/>
  <c r="AN30" i="19"/>
  <c r="AN28" i="19"/>
  <c r="AN27" i="19"/>
  <c r="AN26" i="19"/>
  <c r="AN25" i="19"/>
  <c r="AN24" i="19"/>
  <c r="AN23" i="19"/>
  <c r="AN22" i="19"/>
  <c r="AN21" i="19"/>
  <c r="AN17" i="19"/>
  <c r="AN16" i="19"/>
  <c r="AN15" i="19"/>
  <c r="AN14" i="19"/>
  <c r="AN10" i="19"/>
  <c r="AN9" i="19"/>
  <c r="AN8" i="19"/>
  <c r="AL201" i="31"/>
  <c r="AL200" i="31"/>
  <c r="AL199" i="31"/>
  <c r="AL198" i="31"/>
  <c r="AL197" i="31"/>
  <c r="AL185" i="31"/>
  <c r="AL184" i="31"/>
  <c r="AL183" i="31"/>
  <c r="AL178" i="31"/>
  <c r="AL173" i="31"/>
  <c r="AL172" i="31"/>
  <c r="AL160" i="31"/>
  <c r="AL159" i="31"/>
  <c r="AL158" i="31"/>
  <c r="AL157" i="31"/>
  <c r="AL156" i="31"/>
  <c r="AL155" i="31"/>
  <c r="AL154" i="31"/>
  <c r="AL153" i="31"/>
  <c r="AL150" i="31"/>
  <c r="AL136" i="31"/>
  <c r="AL135" i="31"/>
  <c r="AL134" i="31"/>
  <c r="AL127" i="31"/>
  <c r="AL126" i="31"/>
  <c r="AL125" i="31"/>
  <c r="AL124" i="31"/>
  <c r="AL123" i="31"/>
  <c r="AL117" i="31"/>
  <c r="AL116" i="31"/>
  <c r="AL115" i="31"/>
  <c r="AL114" i="31"/>
  <c r="AL103" i="31"/>
  <c r="AL102" i="31"/>
  <c r="AL95" i="31"/>
  <c r="AL94" i="31"/>
  <c r="AL93" i="31"/>
  <c r="AL89" i="31"/>
  <c r="AL88" i="31"/>
  <c r="AL87" i="31"/>
  <c r="AL81" i="31"/>
  <c r="AL80" i="31"/>
  <c r="AL79" i="31"/>
  <c r="AL78" i="31"/>
  <c r="AL77" i="31"/>
  <c r="AL76" i="31"/>
  <c r="AL75" i="31"/>
  <c r="AL74" i="31"/>
  <c r="AL47" i="31"/>
  <c r="AL46" i="31"/>
  <c r="AL45" i="31"/>
  <c r="AL44" i="31"/>
  <c r="AL34" i="31"/>
  <c r="AL33" i="31"/>
  <c r="AL32" i="31"/>
  <c r="AL31" i="31"/>
  <c r="AL30" i="31"/>
  <c r="AL29" i="31"/>
  <c r="AL28" i="31"/>
  <c r="AL27" i="31"/>
  <c r="AL26" i="31"/>
  <c r="AL24" i="31"/>
  <c r="AL23" i="31"/>
  <c r="AL22" i="31"/>
  <c r="AL21" i="31"/>
  <c r="AL20" i="31"/>
  <c r="AL19" i="31"/>
  <c r="AL18" i="31"/>
  <c r="AL17" i="31"/>
  <c r="AL12" i="31"/>
  <c r="AL11" i="31"/>
  <c r="AL5" i="31"/>
  <c r="AR3" i="19" l="1"/>
  <c r="AL212" i="19"/>
  <c r="AJ212" i="19"/>
  <c r="AH212" i="19"/>
  <c r="AF212" i="19"/>
  <c r="AD212" i="19"/>
  <c r="AB212" i="19"/>
  <c r="Z212" i="19"/>
  <c r="X212" i="19"/>
  <c r="V212" i="19"/>
  <c r="T212" i="19"/>
  <c r="R212" i="19"/>
  <c r="P212" i="19"/>
  <c r="N212" i="19"/>
  <c r="L212" i="19"/>
  <c r="J212" i="19"/>
  <c r="H212" i="19"/>
  <c r="F212" i="19"/>
  <c r="AL211" i="19"/>
  <c r="AJ211" i="19"/>
  <c r="AH211" i="19"/>
  <c r="AF211" i="19"/>
  <c r="AD211" i="19"/>
  <c r="AB211" i="19"/>
  <c r="Z211" i="19"/>
  <c r="X211" i="19"/>
  <c r="V211" i="19"/>
  <c r="T211" i="19"/>
  <c r="R211" i="19"/>
  <c r="P211" i="19"/>
  <c r="N211" i="19"/>
  <c r="L211" i="19"/>
  <c r="J211" i="19"/>
  <c r="H211" i="19"/>
  <c r="F211" i="19"/>
  <c r="C211" i="19"/>
  <c r="AL210" i="19"/>
  <c r="AJ210" i="19"/>
  <c r="AH210" i="19"/>
  <c r="AF210" i="19"/>
  <c r="AD210" i="19"/>
  <c r="AB210" i="19"/>
  <c r="Z210" i="19"/>
  <c r="X210" i="19"/>
  <c r="V210" i="19"/>
  <c r="T210" i="19"/>
  <c r="R210" i="19"/>
  <c r="P210" i="19"/>
  <c r="N210" i="19"/>
  <c r="L210" i="19"/>
  <c r="J210" i="19"/>
  <c r="H210" i="19"/>
  <c r="F210" i="19"/>
  <c r="C210" i="19"/>
  <c r="AL209" i="19"/>
  <c r="AJ209" i="19"/>
  <c r="AH209" i="19"/>
  <c r="AF209" i="19"/>
  <c r="AD209" i="19"/>
  <c r="AB209" i="19"/>
  <c r="Z209" i="19"/>
  <c r="X209" i="19"/>
  <c r="V209" i="19"/>
  <c r="T209" i="19"/>
  <c r="R209" i="19"/>
  <c r="P209" i="19"/>
  <c r="N209" i="19"/>
  <c r="L209" i="19"/>
  <c r="J209" i="19"/>
  <c r="H209" i="19"/>
  <c r="F209" i="19"/>
  <c r="C209" i="19"/>
  <c r="AL208" i="19"/>
  <c r="AJ208" i="19"/>
  <c r="AH208" i="19"/>
  <c r="AF208" i="19"/>
  <c r="AD208" i="19"/>
  <c r="AB208" i="19"/>
  <c r="Z208" i="19"/>
  <c r="X208" i="19"/>
  <c r="V208" i="19"/>
  <c r="T208" i="19"/>
  <c r="R208" i="19"/>
  <c r="P208" i="19"/>
  <c r="N208" i="19"/>
  <c r="L208" i="19"/>
  <c r="J208" i="19"/>
  <c r="H208" i="19"/>
  <c r="F208" i="19"/>
  <c r="C208" i="19"/>
  <c r="AL207" i="19"/>
  <c r="AJ207" i="19"/>
  <c r="AH207" i="19"/>
  <c r="AF207" i="19"/>
  <c r="AD207" i="19"/>
  <c r="AB207" i="19"/>
  <c r="Z207" i="19"/>
  <c r="X207" i="19"/>
  <c r="V207" i="19"/>
  <c r="T207" i="19"/>
  <c r="R207" i="19"/>
  <c r="P207" i="19"/>
  <c r="N207" i="19"/>
  <c r="L207" i="19"/>
  <c r="J207" i="19"/>
  <c r="H207" i="19"/>
  <c r="F207" i="19"/>
  <c r="C207" i="19"/>
  <c r="AL203" i="19"/>
  <c r="AJ203" i="19"/>
  <c r="AH203" i="19"/>
  <c r="AF203" i="19"/>
  <c r="AD203" i="19"/>
  <c r="AB203" i="19"/>
  <c r="Z203" i="19"/>
  <c r="X203" i="19"/>
  <c r="V203" i="19"/>
  <c r="T203" i="19"/>
  <c r="R203" i="19"/>
  <c r="P203" i="19"/>
  <c r="N203" i="19"/>
  <c r="L203" i="19"/>
  <c r="J203" i="19"/>
  <c r="H203" i="19"/>
  <c r="F203" i="19"/>
  <c r="AL202" i="19"/>
  <c r="AJ202" i="19"/>
  <c r="AH202" i="19"/>
  <c r="AF202" i="19"/>
  <c r="AD202" i="19"/>
  <c r="AB202" i="19"/>
  <c r="Z202" i="19"/>
  <c r="X202" i="19"/>
  <c r="V202" i="19"/>
  <c r="T202" i="19"/>
  <c r="R202" i="19"/>
  <c r="P202" i="19"/>
  <c r="N202" i="19"/>
  <c r="L202" i="19"/>
  <c r="J202" i="19"/>
  <c r="H202" i="19"/>
  <c r="F202" i="19"/>
  <c r="AL201" i="19"/>
  <c r="AJ201" i="19"/>
  <c r="AH201" i="19"/>
  <c r="AF201" i="19"/>
  <c r="AD201" i="19"/>
  <c r="AB201" i="19"/>
  <c r="Z201" i="19"/>
  <c r="X201" i="19"/>
  <c r="V201" i="19"/>
  <c r="T201" i="19"/>
  <c r="R201" i="19"/>
  <c r="P201" i="19"/>
  <c r="N201" i="19"/>
  <c r="L201" i="19"/>
  <c r="J201" i="19"/>
  <c r="H201" i="19"/>
  <c r="F201" i="19"/>
  <c r="AL200" i="19"/>
  <c r="AG200" i="19"/>
  <c r="AJ200" i="19" s="1"/>
  <c r="AF200" i="19"/>
  <c r="AD200" i="19"/>
  <c r="AB200" i="19"/>
  <c r="Z200" i="19"/>
  <c r="X200" i="19"/>
  <c r="V200" i="19"/>
  <c r="T200" i="19"/>
  <c r="R200" i="19"/>
  <c r="P200" i="19"/>
  <c r="N200" i="19"/>
  <c r="L200" i="19"/>
  <c r="J200" i="19"/>
  <c r="H200" i="19"/>
  <c r="F200" i="19"/>
  <c r="AL199" i="19"/>
  <c r="AJ199" i="19"/>
  <c r="AH199" i="19"/>
  <c r="AF199" i="19"/>
  <c r="AD199" i="19"/>
  <c r="AB199" i="19"/>
  <c r="Z199" i="19"/>
  <c r="X199" i="19"/>
  <c r="V199" i="19"/>
  <c r="T199" i="19"/>
  <c r="R199" i="19"/>
  <c r="P199" i="19"/>
  <c r="N199" i="19"/>
  <c r="L199" i="19"/>
  <c r="J199" i="19"/>
  <c r="H199" i="19"/>
  <c r="F199" i="19"/>
  <c r="AL198" i="19"/>
  <c r="AJ198" i="19"/>
  <c r="AH198" i="19"/>
  <c r="AF198" i="19"/>
  <c r="AD198" i="19"/>
  <c r="AB198" i="19"/>
  <c r="Z198" i="19"/>
  <c r="X198" i="19"/>
  <c r="V198" i="19"/>
  <c r="T198" i="19"/>
  <c r="R198" i="19"/>
  <c r="P198" i="19"/>
  <c r="K198" i="19"/>
  <c r="N198" i="19" s="1"/>
  <c r="J198" i="19"/>
  <c r="H198" i="19"/>
  <c r="F198" i="19"/>
  <c r="AL197" i="19"/>
  <c r="AJ197" i="19"/>
  <c r="AH197" i="19"/>
  <c r="AF197" i="19"/>
  <c r="AD197" i="19"/>
  <c r="AB197" i="19"/>
  <c r="Z197" i="19"/>
  <c r="X197" i="19"/>
  <c r="V197" i="19"/>
  <c r="T197" i="19"/>
  <c r="R197" i="19"/>
  <c r="P197" i="19"/>
  <c r="N197" i="19"/>
  <c r="L197" i="19"/>
  <c r="J197" i="19"/>
  <c r="H197" i="19"/>
  <c r="F197" i="19"/>
  <c r="AL196" i="19"/>
  <c r="AJ196" i="19"/>
  <c r="AH196" i="19"/>
  <c r="AF196" i="19"/>
  <c r="AD196" i="19"/>
  <c r="AB196" i="19"/>
  <c r="Z196" i="19"/>
  <c r="X196" i="19"/>
  <c r="V196" i="19"/>
  <c r="T196" i="19"/>
  <c r="R196" i="19"/>
  <c r="P196" i="19"/>
  <c r="N196" i="19"/>
  <c r="L196" i="19"/>
  <c r="J196" i="19"/>
  <c r="H196" i="19"/>
  <c r="F196" i="19"/>
  <c r="AL195" i="19"/>
  <c r="AJ195" i="19"/>
  <c r="AH195" i="19"/>
  <c r="AF195" i="19"/>
  <c r="AD195" i="19"/>
  <c r="AB195" i="19"/>
  <c r="Z195" i="19"/>
  <c r="X195" i="19"/>
  <c r="V195" i="19"/>
  <c r="T195" i="19"/>
  <c r="R195" i="19"/>
  <c r="P195" i="19"/>
  <c r="N195" i="19"/>
  <c r="L195" i="19"/>
  <c r="J195" i="19"/>
  <c r="H195" i="19"/>
  <c r="F195" i="19"/>
  <c r="C195" i="19"/>
  <c r="AL194" i="19"/>
  <c r="AJ194" i="19"/>
  <c r="AH194" i="19"/>
  <c r="AF194" i="19"/>
  <c r="AD194" i="19"/>
  <c r="AB194" i="19"/>
  <c r="Z194" i="19"/>
  <c r="X194" i="19"/>
  <c r="V194" i="19"/>
  <c r="T194" i="19"/>
  <c r="R194" i="19"/>
  <c r="P194" i="19"/>
  <c r="N194" i="19"/>
  <c r="L194" i="19"/>
  <c r="J194" i="19"/>
  <c r="H194" i="19"/>
  <c r="F194" i="19"/>
  <c r="C194" i="19"/>
  <c r="AL193" i="19"/>
  <c r="AJ193" i="19"/>
  <c r="AH193" i="19"/>
  <c r="AF193" i="19"/>
  <c r="AD193" i="19"/>
  <c r="AB193" i="19"/>
  <c r="Z193" i="19"/>
  <c r="X193" i="19"/>
  <c r="V193" i="19"/>
  <c r="T193" i="19"/>
  <c r="R193" i="19"/>
  <c r="P193" i="19"/>
  <c r="N193" i="19"/>
  <c r="L193" i="19"/>
  <c r="J193" i="19"/>
  <c r="H193" i="19"/>
  <c r="F193" i="19"/>
  <c r="C193" i="19"/>
  <c r="AL189" i="19"/>
  <c r="AJ189" i="19"/>
  <c r="AH189" i="19"/>
  <c r="AF189" i="19"/>
  <c r="AD189" i="19"/>
  <c r="AB189" i="19"/>
  <c r="Z189" i="19"/>
  <c r="X189" i="19"/>
  <c r="V189" i="19"/>
  <c r="T189" i="19"/>
  <c r="R189" i="19"/>
  <c r="P189" i="19"/>
  <c r="N189" i="19"/>
  <c r="L189" i="19"/>
  <c r="J189" i="19"/>
  <c r="H189" i="19"/>
  <c r="F189" i="19"/>
  <c r="AL188" i="19"/>
  <c r="AJ188" i="19"/>
  <c r="AH188" i="19"/>
  <c r="AF188" i="19"/>
  <c r="AD188" i="19"/>
  <c r="AB188" i="19"/>
  <c r="Z188" i="19"/>
  <c r="X188" i="19"/>
  <c r="V188" i="19"/>
  <c r="T188" i="19"/>
  <c r="R188" i="19"/>
  <c r="P188" i="19"/>
  <c r="N188" i="19"/>
  <c r="L188" i="19"/>
  <c r="J188" i="19"/>
  <c r="H188" i="19"/>
  <c r="F188" i="19"/>
  <c r="C188" i="19"/>
  <c r="AL184" i="19"/>
  <c r="AJ184" i="19"/>
  <c r="AH184" i="19"/>
  <c r="AF184" i="19"/>
  <c r="AD184" i="19"/>
  <c r="AB184" i="19"/>
  <c r="Z184" i="19"/>
  <c r="X184" i="19"/>
  <c r="V184" i="19"/>
  <c r="T184" i="19"/>
  <c r="R184" i="19"/>
  <c r="P184" i="19"/>
  <c r="N184" i="19"/>
  <c r="L184" i="19"/>
  <c r="J184" i="19"/>
  <c r="H184" i="19"/>
  <c r="F184" i="19"/>
  <c r="AL183" i="19"/>
  <c r="AJ183" i="19"/>
  <c r="AH183" i="19"/>
  <c r="AF183" i="19"/>
  <c r="AD183" i="19"/>
  <c r="AB183" i="19"/>
  <c r="Z183" i="19"/>
  <c r="X183" i="19"/>
  <c r="V183" i="19"/>
  <c r="T183" i="19"/>
  <c r="R183" i="19"/>
  <c r="P183" i="19"/>
  <c r="N183" i="19"/>
  <c r="L183" i="19"/>
  <c r="J183" i="19"/>
  <c r="H183" i="19"/>
  <c r="F183" i="19"/>
  <c r="C183" i="19"/>
  <c r="AL182" i="19"/>
  <c r="AJ182" i="19"/>
  <c r="AH182" i="19"/>
  <c r="AF182" i="19"/>
  <c r="AD182" i="19"/>
  <c r="AB182" i="19"/>
  <c r="Z182" i="19"/>
  <c r="X182" i="19"/>
  <c r="V182" i="19"/>
  <c r="T182" i="19"/>
  <c r="R182" i="19"/>
  <c r="P182" i="19"/>
  <c r="N182" i="19"/>
  <c r="L182" i="19"/>
  <c r="J182" i="19"/>
  <c r="H182" i="19"/>
  <c r="F182" i="19"/>
  <c r="C182" i="19"/>
  <c r="AL178" i="19"/>
  <c r="AJ178" i="19"/>
  <c r="AH178" i="19"/>
  <c r="AF178" i="19"/>
  <c r="AD178" i="19"/>
  <c r="AB178" i="19"/>
  <c r="Z178" i="19"/>
  <c r="X178" i="19"/>
  <c r="V178" i="19"/>
  <c r="T178" i="19"/>
  <c r="R178" i="19"/>
  <c r="P178" i="19"/>
  <c r="N178" i="19"/>
  <c r="L178" i="19"/>
  <c r="J178" i="19"/>
  <c r="H178" i="19"/>
  <c r="F178" i="19"/>
  <c r="AL177" i="19"/>
  <c r="AJ177" i="19"/>
  <c r="AH177" i="19"/>
  <c r="AF177" i="19"/>
  <c r="AD177" i="19"/>
  <c r="AB177" i="19"/>
  <c r="Z177" i="19"/>
  <c r="X177" i="19"/>
  <c r="V177" i="19"/>
  <c r="T177" i="19"/>
  <c r="R177" i="19"/>
  <c r="P177" i="19"/>
  <c r="N177" i="19"/>
  <c r="L177" i="19"/>
  <c r="J177" i="19"/>
  <c r="H177" i="19"/>
  <c r="F177" i="19"/>
  <c r="AL176" i="19"/>
  <c r="AJ176" i="19"/>
  <c r="AH176" i="19"/>
  <c r="AF176" i="19"/>
  <c r="AD176" i="19"/>
  <c r="AB176" i="19"/>
  <c r="Z176" i="19"/>
  <c r="X176" i="19"/>
  <c r="V176" i="19"/>
  <c r="T176" i="19"/>
  <c r="R176" i="19"/>
  <c r="P176" i="19"/>
  <c r="N176" i="19"/>
  <c r="L176" i="19"/>
  <c r="J176" i="19"/>
  <c r="H176" i="19"/>
  <c r="F176" i="19"/>
  <c r="AL175" i="19"/>
  <c r="AJ175" i="19"/>
  <c r="AH175" i="19"/>
  <c r="AF175" i="19"/>
  <c r="AD175" i="19"/>
  <c r="AB175" i="19"/>
  <c r="Z175" i="19"/>
  <c r="X175" i="19"/>
  <c r="V175" i="19"/>
  <c r="T175" i="19"/>
  <c r="R175" i="19"/>
  <c r="P175" i="19"/>
  <c r="N175" i="19"/>
  <c r="L175" i="19"/>
  <c r="J175" i="19"/>
  <c r="H175" i="19"/>
  <c r="F175" i="19"/>
  <c r="AJ174" i="19"/>
  <c r="B174" i="19" s="1"/>
  <c r="AH174" i="19"/>
  <c r="AF174" i="19"/>
  <c r="AD174" i="19"/>
  <c r="AB174" i="19"/>
  <c r="Z174" i="19"/>
  <c r="X174" i="19"/>
  <c r="V174" i="19"/>
  <c r="T174" i="19"/>
  <c r="R174" i="19"/>
  <c r="P174" i="19"/>
  <c r="N174" i="19"/>
  <c r="L174" i="19"/>
  <c r="J174" i="19"/>
  <c r="H174" i="19"/>
  <c r="F174" i="19"/>
  <c r="AD173" i="19"/>
  <c r="AB173" i="19"/>
  <c r="Z173" i="19"/>
  <c r="X173" i="19"/>
  <c r="V173" i="19"/>
  <c r="T173" i="19"/>
  <c r="R173" i="19"/>
  <c r="P173" i="19"/>
  <c r="N173" i="19"/>
  <c r="L173" i="19"/>
  <c r="J173" i="19"/>
  <c r="H173" i="19"/>
  <c r="F173" i="19"/>
  <c r="AL172" i="19"/>
  <c r="AJ172" i="19"/>
  <c r="AH172" i="19"/>
  <c r="AF172" i="19"/>
  <c r="AD172" i="19"/>
  <c r="AB172" i="19"/>
  <c r="Z172" i="19"/>
  <c r="X172" i="19"/>
  <c r="V172" i="19"/>
  <c r="T172" i="19"/>
  <c r="R172" i="19"/>
  <c r="P172" i="19"/>
  <c r="N172" i="19"/>
  <c r="L172" i="19"/>
  <c r="J172" i="19"/>
  <c r="H172" i="19"/>
  <c r="F172" i="19"/>
  <c r="AL171" i="19"/>
  <c r="AJ171" i="19"/>
  <c r="AH171" i="19"/>
  <c r="AF171" i="19"/>
  <c r="AD171" i="19"/>
  <c r="AB171" i="19"/>
  <c r="Z171" i="19"/>
  <c r="X171" i="19"/>
  <c r="V171" i="19"/>
  <c r="T171" i="19"/>
  <c r="R171" i="19"/>
  <c r="P171" i="19"/>
  <c r="N171" i="19"/>
  <c r="L171" i="19"/>
  <c r="J171" i="19"/>
  <c r="H171" i="19"/>
  <c r="F171" i="19"/>
  <c r="AL170" i="19"/>
  <c r="AJ170" i="19"/>
  <c r="AH170" i="19"/>
  <c r="AF170" i="19"/>
  <c r="AD170" i="19"/>
  <c r="AB170" i="19"/>
  <c r="Z170" i="19"/>
  <c r="X170" i="19"/>
  <c r="V170" i="19"/>
  <c r="T170" i="19"/>
  <c r="R170" i="19"/>
  <c r="P170" i="19"/>
  <c r="N170" i="19"/>
  <c r="L170" i="19"/>
  <c r="J170" i="19"/>
  <c r="H170" i="19"/>
  <c r="F170" i="19"/>
  <c r="C170" i="19"/>
  <c r="AL169" i="19"/>
  <c r="AJ169" i="19"/>
  <c r="AH169" i="19"/>
  <c r="AF169" i="19"/>
  <c r="AD169" i="19"/>
  <c r="AB169" i="19"/>
  <c r="Z169" i="19"/>
  <c r="X169" i="19"/>
  <c r="V169" i="19"/>
  <c r="T169" i="19"/>
  <c r="R169" i="19"/>
  <c r="P169" i="19"/>
  <c r="N169" i="19"/>
  <c r="L169" i="19"/>
  <c r="J169" i="19"/>
  <c r="H169" i="19"/>
  <c r="F169" i="19"/>
  <c r="C169" i="19"/>
  <c r="AL168" i="19"/>
  <c r="AJ168" i="19"/>
  <c r="AH168" i="19"/>
  <c r="AF168" i="19"/>
  <c r="AD168" i="19"/>
  <c r="AB168" i="19"/>
  <c r="Z168" i="19"/>
  <c r="X168" i="19"/>
  <c r="V168" i="19"/>
  <c r="T168" i="19"/>
  <c r="R168" i="19"/>
  <c r="P168" i="19"/>
  <c r="N168" i="19"/>
  <c r="L168" i="19"/>
  <c r="J168" i="19"/>
  <c r="H168" i="19"/>
  <c r="F168" i="19"/>
  <c r="C168" i="19"/>
  <c r="AL167" i="19"/>
  <c r="AJ167" i="19"/>
  <c r="AH167" i="19"/>
  <c r="AF167" i="19"/>
  <c r="AD167" i="19"/>
  <c r="AB167" i="19"/>
  <c r="Z167" i="19"/>
  <c r="X167" i="19"/>
  <c r="V167" i="19"/>
  <c r="T167" i="19"/>
  <c r="R167" i="19"/>
  <c r="P167" i="19"/>
  <c r="N167" i="19"/>
  <c r="L167" i="19"/>
  <c r="J167" i="19"/>
  <c r="H167" i="19"/>
  <c r="F167" i="19"/>
  <c r="C167" i="19"/>
  <c r="AL166" i="19"/>
  <c r="AJ166" i="19"/>
  <c r="AH166" i="19"/>
  <c r="AF166" i="19"/>
  <c r="AD166" i="19"/>
  <c r="AB166" i="19"/>
  <c r="Z166" i="19"/>
  <c r="X166" i="19"/>
  <c r="V166" i="19"/>
  <c r="T166" i="19"/>
  <c r="R166" i="19"/>
  <c r="P166" i="19"/>
  <c r="N166" i="19"/>
  <c r="L166" i="19"/>
  <c r="J166" i="19"/>
  <c r="H166" i="19"/>
  <c r="F166" i="19"/>
  <c r="C166" i="19"/>
  <c r="AL165" i="19"/>
  <c r="AJ165" i="19"/>
  <c r="AH165" i="19"/>
  <c r="AF165" i="19"/>
  <c r="AD165" i="19"/>
  <c r="AB165" i="19"/>
  <c r="Z165" i="19"/>
  <c r="X165" i="19"/>
  <c r="V165" i="19"/>
  <c r="T165" i="19"/>
  <c r="R165" i="19"/>
  <c r="P165" i="19"/>
  <c r="N165" i="19"/>
  <c r="L165" i="19"/>
  <c r="J165" i="19"/>
  <c r="H165" i="19"/>
  <c r="F165" i="19"/>
  <c r="C165" i="19"/>
  <c r="AL164" i="19"/>
  <c r="AJ164" i="19"/>
  <c r="AH164" i="19"/>
  <c r="AF164" i="19"/>
  <c r="AD164" i="19"/>
  <c r="AB164" i="19"/>
  <c r="Z164" i="19"/>
  <c r="X164" i="19"/>
  <c r="V164" i="19"/>
  <c r="T164" i="19"/>
  <c r="R164" i="19"/>
  <c r="P164" i="19"/>
  <c r="N164" i="19"/>
  <c r="L164" i="19"/>
  <c r="J164" i="19"/>
  <c r="H164" i="19"/>
  <c r="F164" i="19"/>
  <c r="C164" i="19"/>
  <c r="AL163" i="19"/>
  <c r="AJ163" i="19"/>
  <c r="AH163" i="19"/>
  <c r="AF163" i="19"/>
  <c r="AD163" i="19"/>
  <c r="AB163" i="19"/>
  <c r="Z163" i="19"/>
  <c r="X163" i="19"/>
  <c r="V163" i="19"/>
  <c r="T163" i="19"/>
  <c r="R163" i="19"/>
  <c r="P163" i="19"/>
  <c r="N163" i="19"/>
  <c r="L163" i="19"/>
  <c r="J163" i="19"/>
  <c r="H163" i="19"/>
  <c r="F163" i="19"/>
  <c r="C163" i="19"/>
  <c r="AL159" i="19"/>
  <c r="AJ159" i="19"/>
  <c r="AH159" i="19"/>
  <c r="AF159" i="19"/>
  <c r="AD159" i="19"/>
  <c r="AB159" i="19"/>
  <c r="Z159" i="19"/>
  <c r="X159" i="19"/>
  <c r="V159" i="19"/>
  <c r="T159" i="19"/>
  <c r="R159" i="19"/>
  <c r="P159" i="19"/>
  <c r="N159" i="19"/>
  <c r="L159" i="19"/>
  <c r="J159" i="19"/>
  <c r="H159" i="19"/>
  <c r="F159" i="19"/>
  <c r="AL158" i="19"/>
  <c r="AJ158" i="19"/>
  <c r="AH158" i="19"/>
  <c r="AF158" i="19"/>
  <c r="AD158" i="19"/>
  <c r="AB158" i="19"/>
  <c r="Z158" i="19"/>
  <c r="X158" i="19"/>
  <c r="V158" i="19"/>
  <c r="T158" i="19"/>
  <c r="R158" i="19"/>
  <c r="P158" i="19"/>
  <c r="N158" i="19"/>
  <c r="L158" i="19"/>
  <c r="J158" i="19"/>
  <c r="H158" i="19"/>
  <c r="F158" i="19"/>
  <c r="C158" i="19"/>
  <c r="AL154" i="19"/>
  <c r="AJ154" i="19"/>
  <c r="AH154" i="19"/>
  <c r="AF154" i="19"/>
  <c r="AD154" i="19"/>
  <c r="AB154" i="19"/>
  <c r="Z154" i="19"/>
  <c r="X154" i="19"/>
  <c r="V154" i="19"/>
  <c r="T154" i="19"/>
  <c r="R154" i="19"/>
  <c r="P154" i="19"/>
  <c r="N154" i="19"/>
  <c r="L154" i="19"/>
  <c r="J154" i="19"/>
  <c r="H154" i="19"/>
  <c r="F154" i="19"/>
  <c r="AL153" i="19"/>
  <c r="AJ153" i="19"/>
  <c r="AH153" i="19"/>
  <c r="AF153" i="19"/>
  <c r="AD153" i="19"/>
  <c r="AB153" i="19"/>
  <c r="Z153" i="19"/>
  <c r="X153" i="19"/>
  <c r="V153" i="19"/>
  <c r="T153" i="19"/>
  <c r="R153" i="19"/>
  <c r="P153" i="19"/>
  <c r="N153" i="19"/>
  <c r="L153" i="19"/>
  <c r="J153" i="19"/>
  <c r="H153" i="19"/>
  <c r="F153" i="19"/>
  <c r="AL152" i="19"/>
  <c r="AJ152" i="19"/>
  <c r="AH152" i="19"/>
  <c r="AF152" i="19"/>
  <c r="AD152" i="19"/>
  <c r="AB152" i="19"/>
  <c r="Z152" i="19"/>
  <c r="X152" i="19"/>
  <c r="V152" i="19"/>
  <c r="T152" i="19"/>
  <c r="R152" i="19"/>
  <c r="P152" i="19"/>
  <c r="N152" i="19"/>
  <c r="L152" i="19"/>
  <c r="J152" i="19"/>
  <c r="H152" i="19"/>
  <c r="F152" i="19"/>
  <c r="AL151" i="19"/>
  <c r="AJ151" i="19"/>
  <c r="AH151" i="19"/>
  <c r="AF151" i="19"/>
  <c r="AD151" i="19"/>
  <c r="AB151" i="19"/>
  <c r="Z151" i="19"/>
  <c r="X151" i="19"/>
  <c r="V151" i="19"/>
  <c r="T151" i="19"/>
  <c r="R151" i="19"/>
  <c r="P151" i="19"/>
  <c r="N151" i="19"/>
  <c r="L151" i="19"/>
  <c r="J151" i="19"/>
  <c r="H151" i="19"/>
  <c r="F151" i="19"/>
  <c r="AL150" i="19"/>
  <c r="AJ150" i="19"/>
  <c r="AH150" i="19"/>
  <c r="AF150" i="19"/>
  <c r="AD150" i="19"/>
  <c r="AB150" i="19"/>
  <c r="Z150" i="19"/>
  <c r="X150" i="19"/>
  <c r="V150" i="19"/>
  <c r="T150" i="19"/>
  <c r="R150" i="19"/>
  <c r="P150" i="19"/>
  <c r="N150" i="19"/>
  <c r="L150" i="19"/>
  <c r="J150" i="19"/>
  <c r="H150" i="19"/>
  <c r="F150" i="19"/>
  <c r="AL149" i="19"/>
  <c r="AJ149" i="19"/>
  <c r="AH149" i="19"/>
  <c r="AF149" i="19"/>
  <c r="AD149" i="19"/>
  <c r="AB149" i="19"/>
  <c r="Z149" i="19"/>
  <c r="X149" i="19"/>
  <c r="V149" i="19"/>
  <c r="T149" i="19"/>
  <c r="R149" i="19"/>
  <c r="P149" i="19"/>
  <c r="N149" i="19"/>
  <c r="L149" i="19"/>
  <c r="J149" i="19"/>
  <c r="H149" i="19"/>
  <c r="F149" i="19"/>
  <c r="AL148" i="19"/>
  <c r="AJ148" i="19"/>
  <c r="AH148" i="19"/>
  <c r="AF148" i="19"/>
  <c r="AD148" i="19"/>
  <c r="AB148" i="19"/>
  <c r="Z148" i="19"/>
  <c r="X148" i="19"/>
  <c r="V148" i="19"/>
  <c r="T148" i="19"/>
  <c r="R148" i="19"/>
  <c r="P148" i="19"/>
  <c r="N148" i="19"/>
  <c r="L148" i="19"/>
  <c r="J148" i="19"/>
  <c r="H148" i="19"/>
  <c r="F148" i="19"/>
  <c r="AL147" i="19"/>
  <c r="AJ147" i="19"/>
  <c r="AH147" i="19"/>
  <c r="AF147" i="19"/>
  <c r="AD147" i="19"/>
  <c r="AB147" i="19"/>
  <c r="Z147" i="19"/>
  <c r="X147" i="19"/>
  <c r="V147" i="19"/>
  <c r="T147" i="19"/>
  <c r="R147" i="19"/>
  <c r="P147" i="19"/>
  <c r="N147" i="19"/>
  <c r="L147" i="19"/>
  <c r="J147" i="19"/>
  <c r="H147" i="19"/>
  <c r="F147" i="19"/>
  <c r="AL146" i="19"/>
  <c r="AJ146" i="19"/>
  <c r="AH146" i="19"/>
  <c r="AF146" i="19"/>
  <c r="AD146" i="19"/>
  <c r="AB146" i="19"/>
  <c r="Z146" i="19"/>
  <c r="X146" i="19"/>
  <c r="V146" i="19"/>
  <c r="T146" i="19"/>
  <c r="R146" i="19"/>
  <c r="P146" i="19"/>
  <c r="N146" i="19"/>
  <c r="L146" i="19"/>
  <c r="J146" i="19"/>
  <c r="H146" i="19"/>
  <c r="F146" i="19"/>
  <c r="AL145" i="19"/>
  <c r="AJ145" i="19"/>
  <c r="AH145" i="19"/>
  <c r="AF145" i="19"/>
  <c r="AD145" i="19"/>
  <c r="AB145" i="19"/>
  <c r="Z145" i="19"/>
  <c r="X145" i="19"/>
  <c r="V145" i="19"/>
  <c r="T145" i="19"/>
  <c r="R145" i="19"/>
  <c r="P145" i="19"/>
  <c r="N145" i="19"/>
  <c r="L145" i="19"/>
  <c r="J145" i="19"/>
  <c r="H145" i="19"/>
  <c r="F145" i="19"/>
  <c r="AL144" i="19"/>
  <c r="AJ144" i="19"/>
  <c r="AH144" i="19"/>
  <c r="AF144" i="19"/>
  <c r="AD144" i="19"/>
  <c r="AB144" i="19"/>
  <c r="Z144" i="19"/>
  <c r="X144" i="19"/>
  <c r="V144" i="19"/>
  <c r="T144" i="19"/>
  <c r="R144" i="19"/>
  <c r="P144" i="19"/>
  <c r="N144" i="19"/>
  <c r="L144" i="19"/>
  <c r="J144" i="19"/>
  <c r="H144" i="19"/>
  <c r="F144" i="19"/>
  <c r="C144" i="19"/>
  <c r="AL143" i="19"/>
  <c r="AJ143" i="19"/>
  <c r="AH143" i="19"/>
  <c r="AF143" i="19"/>
  <c r="AD143" i="19"/>
  <c r="AB143" i="19"/>
  <c r="Z143" i="19"/>
  <c r="X143" i="19"/>
  <c r="V143" i="19"/>
  <c r="T143" i="19"/>
  <c r="R143" i="19"/>
  <c r="P143" i="19"/>
  <c r="N143" i="19"/>
  <c r="L143" i="19"/>
  <c r="J143" i="19"/>
  <c r="H143" i="19"/>
  <c r="F143" i="19"/>
  <c r="C143" i="19"/>
  <c r="AL142" i="19"/>
  <c r="AJ142" i="19"/>
  <c r="AH142" i="19"/>
  <c r="AF142" i="19"/>
  <c r="AD142" i="19"/>
  <c r="AB142" i="19"/>
  <c r="Z142" i="19"/>
  <c r="X142" i="19"/>
  <c r="V142" i="19"/>
  <c r="T142" i="19"/>
  <c r="R142" i="19"/>
  <c r="P142" i="19"/>
  <c r="N142" i="19"/>
  <c r="L142" i="19"/>
  <c r="J142" i="19"/>
  <c r="H142" i="19"/>
  <c r="F142" i="19"/>
  <c r="C142" i="19"/>
  <c r="AL138" i="19"/>
  <c r="AJ138" i="19"/>
  <c r="AH138" i="19"/>
  <c r="AF138" i="19"/>
  <c r="AD138" i="19"/>
  <c r="AB138" i="19"/>
  <c r="Z138" i="19"/>
  <c r="X138" i="19"/>
  <c r="V138" i="19"/>
  <c r="T138" i="19"/>
  <c r="R138" i="19"/>
  <c r="P138" i="19"/>
  <c r="N138" i="19"/>
  <c r="L138" i="19"/>
  <c r="J138" i="19"/>
  <c r="H138" i="19"/>
  <c r="F138" i="19"/>
  <c r="AL137" i="19"/>
  <c r="AJ137" i="19"/>
  <c r="AH137" i="19"/>
  <c r="AF137" i="19"/>
  <c r="AD137" i="19"/>
  <c r="AB137" i="19"/>
  <c r="Z137" i="19"/>
  <c r="X137" i="19"/>
  <c r="V137" i="19"/>
  <c r="T137" i="19"/>
  <c r="R137" i="19"/>
  <c r="P137" i="19"/>
  <c r="N137" i="19"/>
  <c r="L137" i="19"/>
  <c r="J137" i="19"/>
  <c r="H137" i="19"/>
  <c r="F137" i="19"/>
  <c r="AL136" i="19"/>
  <c r="AJ136" i="19"/>
  <c r="AH136" i="19"/>
  <c r="AF136" i="19"/>
  <c r="AD136" i="19"/>
  <c r="AB136" i="19"/>
  <c r="Z136" i="19"/>
  <c r="X136" i="19"/>
  <c r="V136" i="19"/>
  <c r="T136" i="19"/>
  <c r="R136" i="19"/>
  <c r="P136" i="19"/>
  <c r="N136" i="19"/>
  <c r="L136" i="19"/>
  <c r="J136" i="19"/>
  <c r="H136" i="19"/>
  <c r="F136" i="19"/>
  <c r="AL135" i="19"/>
  <c r="AJ135" i="19"/>
  <c r="AH135" i="19"/>
  <c r="AF135" i="19"/>
  <c r="AD135" i="19"/>
  <c r="AB135" i="19"/>
  <c r="Z135" i="19"/>
  <c r="X135" i="19"/>
  <c r="V135" i="19"/>
  <c r="T135" i="19"/>
  <c r="R135" i="19"/>
  <c r="P135" i="19"/>
  <c r="N135" i="19"/>
  <c r="L135" i="19"/>
  <c r="J135" i="19"/>
  <c r="H135" i="19"/>
  <c r="F135" i="19"/>
  <c r="C135" i="19"/>
  <c r="AL134" i="19"/>
  <c r="AJ134" i="19"/>
  <c r="AH134" i="19"/>
  <c r="AF134" i="19"/>
  <c r="AD134" i="19"/>
  <c r="AB134" i="19"/>
  <c r="Z134" i="19"/>
  <c r="X134" i="19"/>
  <c r="V134" i="19"/>
  <c r="T134" i="19"/>
  <c r="R134" i="19"/>
  <c r="P134" i="19"/>
  <c r="N134" i="19"/>
  <c r="L134" i="19"/>
  <c r="J134" i="19"/>
  <c r="H134" i="19"/>
  <c r="F134" i="19"/>
  <c r="C134" i="19"/>
  <c r="AL133" i="19"/>
  <c r="AJ133" i="19"/>
  <c r="AH133" i="19"/>
  <c r="AF133" i="19"/>
  <c r="AD133" i="19"/>
  <c r="AB133" i="19"/>
  <c r="Z133" i="19"/>
  <c r="X133" i="19"/>
  <c r="V133" i="19"/>
  <c r="T133" i="19"/>
  <c r="R133" i="19"/>
  <c r="P133" i="19"/>
  <c r="N133" i="19"/>
  <c r="L133" i="19"/>
  <c r="J133" i="19"/>
  <c r="H133" i="19"/>
  <c r="F133" i="19"/>
  <c r="C133" i="19"/>
  <c r="AL132" i="19"/>
  <c r="AJ132" i="19"/>
  <c r="AH132" i="19"/>
  <c r="AF132" i="19"/>
  <c r="AD132" i="19"/>
  <c r="AB132" i="19"/>
  <c r="Z132" i="19"/>
  <c r="X132" i="19"/>
  <c r="V132" i="19"/>
  <c r="T132" i="19"/>
  <c r="R132" i="19"/>
  <c r="P132" i="19"/>
  <c r="N132" i="19"/>
  <c r="L132" i="19"/>
  <c r="J132" i="19"/>
  <c r="H132" i="19"/>
  <c r="F132" i="19"/>
  <c r="C132" i="19"/>
  <c r="AL131" i="19"/>
  <c r="AJ131" i="19"/>
  <c r="AH131" i="19"/>
  <c r="AF131" i="19"/>
  <c r="AD131" i="19"/>
  <c r="AB131" i="19"/>
  <c r="Z131" i="19"/>
  <c r="X131" i="19"/>
  <c r="V131" i="19"/>
  <c r="T131" i="19"/>
  <c r="R131" i="19"/>
  <c r="P131" i="19"/>
  <c r="N131" i="19"/>
  <c r="L131" i="19"/>
  <c r="J131" i="19"/>
  <c r="H131" i="19"/>
  <c r="F131" i="19"/>
  <c r="C131" i="19"/>
  <c r="AL127" i="19"/>
  <c r="AJ127" i="19"/>
  <c r="AH127" i="19"/>
  <c r="AF127" i="19"/>
  <c r="AD127" i="19"/>
  <c r="AB127" i="19"/>
  <c r="Z127" i="19"/>
  <c r="X127" i="19"/>
  <c r="V127" i="19"/>
  <c r="T127" i="19"/>
  <c r="R127" i="19"/>
  <c r="P127" i="19"/>
  <c r="N127" i="19"/>
  <c r="L127" i="19"/>
  <c r="J127" i="19"/>
  <c r="H127" i="19"/>
  <c r="F127" i="19"/>
  <c r="AL126" i="19"/>
  <c r="AJ126" i="19"/>
  <c r="AH126" i="19"/>
  <c r="AF126" i="19"/>
  <c r="AD126" i="19"/>
  <c r="AB126" i="19"/>
  <c r="Z126" i="19"/>
  <c r="X126" i="19"/>
  <c r="V126" i="19"/>
  <c r="T126" i="19"/>
  <c r="R126" i="19"/>
  <c r="P126" i="19"/>
  <c r="N126" i="19"/>
  <c r="L126" i="19"/>
  <c r="J126" i="19"/>
  <c r="H126" i="19"/>
  <c r="F126" i="19"/>
  <c r="AL125" i="19"/>
  <c r="AJ125" i="19"/>
  <c r="AH125" i="19"/>
  <c r="AF125" i="19"/>
  <c r="AD125" i="19"/>
  <c r="AB125" i="19"/>
  <c r="Z125" i="19"/>
  <c r="X125" i="19"/>
  <c r="V125" i="19"/>
  <c r="T125" i="19"/>
  <c r="R125" i="19"/>
  <c r="P125" i="19"/>
  <c r="N125" i="19"/>
  <c r="L125" i="19"/>
  <c r="J125" i="19"/>
  <c r="H125" i="19"/>
  <c r="F125" i="19"/>
  <c r="C125" i="19"/>
  <c r="AL124" i="19"/>
  <c r="AJ124" i="19"/>
  <c r="AH124" i="19"/>
  <c r="AF124" i="19"/>
  <c r="AD124" i="19"/>
  <c r="AB124" i="19"/>
  <c r="Z124" i="19"/>
  <c r="X124" i="19"/>
  <c r="V124" i="19"/>
  <c r="T124" i="19"/>
  <c r="R124" i="19"/>
  <c r="P124" i="19"/>
  <c r="N124" i="19"/>
  <c r="L124" i="19"/>
  <c r="J124" i="19"/>
  <c r="H124" i="19"/>
  <c r="F124" i="19"/>
  <c r="C124" i="19"/>
  <c r="AL123" i="19"/>
  <c r="AJ123" i="19"/>
  <c r="AH123" i="19"/>
  <c r="AF123" i="19"/>
  <c r="AD123" i="19"/>
  <c r="AB123" i="19"/>
  <c r="Z123" i="19"/>
  <c r="X123" i="19"/>
  <c r="V123" i="19"/>
  <c r="T123" i="19"/>
  <c r="R123" i="19"/>
  <c r="P123" i="19"/>
  <c r="N123" i="19"/>
  <c r="L123" i="19"/>
  <c r="J123" i="19"/>
  <c r="H123" i="19"/>
  <c r="F123" i="19"/>
  <c r="C123" i="19"/>
  <c r="AL122" i="19"/>
  <c r="AJ122" i="19"/>
  <c r="AH122" i="19"/>
  <c r="AF122" i="19"/>
  <c r="AD122" i="19"/>
  <c r="AB122" i="19"/>
  <c r="Z122" i="19"/>
  <c r="X122" i="19"/>
  <c r="V122" i="19"/>
  <c r="T122" i="19"/>
  <c r="R122" i="19"/>
  <c r="P122" i="19"/>
  <c r="N122" i="19"/>
  <c r="L122" i="19"/>
  <c r="J122" i="19"/>
  <c r="H122" i="19"/>
  <c r="F122" i="19"/>
  <c r="C122" i="19"/>
  <c r="AL118" i="19"/>
  <c r="AJ118" i="19"/>
  <c r="AH118" i="19"/>
  <c r="AF118" i="19"/>
  <c r="AD118" i="19"/>
  <c r="AB118" i="19"/>
  <c r="Z118" i="19"/>
  <c r="X118" i="19"/>
  <c r="V118" i="19"/>
  <c r="T118" i="19"/>
  <c r="R118" i="19"/>
  <c r="P118" i="19"/>
  <c r="N118" i="19"/>
  <c r="L118" i="19"/>
  <c r="J118" i="19"/>
  <c r="H118" i="19"/>
  <c r="F118" i="19"/>
  <c r="AL117" i="19"/>
  <c r="AJ117" i="19"/>
  <c r="AH117" i="19"/>
  <c r="AF117" i="19"/>
  <c r="AD117" i="19"/>
  <c r="AB117" i="19"/>
  <c r="Z117" i="19"/>
  <c r="X117" i="19"/>
  <c r="V117" i="19"/>
  <c r="T117" i="19"/>
  <c r="R117" i="19"/>
  <c r="P117" i="19"/>
  <c r="N117" i="19"/>
  <c r="L117" i="19"/>
  <c r="J117" i="19"/>
  <c r="H117" i="19"/>
  <c r="F117" i="19"/>
  <c r="AL116" i="19"/>
  <c r="AJ116" i="19"/>
  <c r="AH116" i="19"/>
  <c r="AF116" i="19"/>
  <c r="AD116" i="19"/>
  <c r="AB116" i="19"/>
  <c r="Z116" i="19"/>
  <c r="X116" i="19"/>
  <c r="V116" i="19"/>
  <c r="T116" i="19"/>
  <c r="R116" i="19"/>
  <c r="P116" i="19"/>
  <c r="N116" i="19"/>
  <c r="L116" i="19"/>
  <c r="J116" i="19"/>
  <c r="H116" i="19"/>
  <c r="F116" i="19"/>
  <c r="AL115" i="19"/>
  <c r="AJ115" i="19"/>
  <c r="AH115" i="19"/>
  <c r="AF115" i="19"/>
  <c r="AD115" i="19"/>
  <c r="AB115" i="19"/>
  <c r="Z115" i="19"/>
  <c r="X115" i="19"/>
  <c r="V115" i="19"/>
  <c r="T115" i="19"/>
  <c r="R115" i="19"/>
  <c r="P115" i="19"/>
  <c r="N115" i="19"/>
  <c r="L115" i="19"/>
  <c r="J115" i="19"/>
  <c r="H115" i="19"/>
  <c r="F115" i="19"/>
  <c r="AL114" i="19"/>
  <c r="AJ114" i="19"/>
  <c r="AH114" i="19"/>
  <c r="AF114" i="19"/>
  <c r="AD114" i="19"/>
  <c r="AB114" i="19"/>
  <c r="Z114" i="19"/>
  <c r="X114" i="19"/>
  <c r="V114" i="19"/>
  <c r="T114" i="19"/>
  <c r="R114" i="19"/>
  <c r="P114" i="19"/>
  <c r="N114" i="19"/>
  <c r="L114" i="19"/>
  <c r="J114" i="19"/>
  <c r="H114" i="19"/>
  <c r="F114" i="19"/>
  <c r="AL113" i="19"/>
  <c r="AJ113" i="19"/>
  <c r="AH113" i="19"/>
  <c r="AF113" i="19"/>
  <c r="AD113" i="19"/>
  <c r="AB113" i="19"/>
  <c r="Z113" i="19"/>
  <c r="X113" i="19"/>
  <c r="V113" i="19"/>
  <c r="T113" i="19"/>
  <c r="R113" i="19"/>
  <c r="P113" i="19"/>
  <c r="N113" i="19"/>
  <c r="L113" i="19"/>
  <c r="J113" i="19"/>
  <c r="H113" i="19"/>
  <c r="F113" i="19"/>
  <c r="AL112" i="19"/>
  <c r="AJ112" i="19"/>
  <c r="AH112" i="19"/>
  <c r="AF112" i="19"/>
  <c r="AD112" i="19"/>
  <c r="AB112" i="19"/>
  <c r="Z112" i="19"/>
  <c r="X112" i="19"/>
  <c r="V112" i="19"/>
  <c r="T112" i="19"/>
  <c r="R112" i="19"/>
  <c r="P112" i="19"/>
  <c r="N112" i="19"/>
  <c r="L112" i="19"/>
  <c r="J112" i="19"/>
  <c r="H112" i="19"/>
  <c r="F112" i="19"/>
  <c r="AL111" i="19"/>
  <c r="AJ111" i="19"/>
  <c r="AH111" i="19"/>
  <c r="AF111" i="19"/>
  <c r="AD111" i="19"/>
  <c r="AB111" i="19"/>
  <c r="Z111" i="19"/>
  <c r="X111" i="19"/>
  <c r="V111" i="19"/>
  <c r="T111" i="19"/>
  <c r="R111" i="19"/>
  <c r="P111" i="19"/>
  <c r="N111" i="19"/>
  <c r="L111" i="19"/>
  <c r="J111" i="19"/>
  <c r="H111" i="19"/>
  <c r="F111" i="19"/>
  <c r="AL110" i="19"/>
  <c r="AJ110" i="19"/>
  <c r="AH110" i="19"/>
  <c r="AF110" i="19"/>
  <c r="AD110" i="19"/>
  <c r="AB110" i="19"/>
  <c r="Z110" i="19"/>
  <c r="X110" i="19"/>
  <c r="V110" i="19"/>
  <c r="T110" i="19"/>
  <c r="R110" i="19"/>
  <c r="P110" i="19"/>
  <c r="N110" i="19"/>
  <c r="L110" i="19"/>
  <c r="J110" i="19"/>
  <c r="H110" i="19"/>
  <c r="F110" i="19"/>
  <c r="AL109" i="19"/>
  <c r="AJ109" i="19"/>
  <c r="AH109" i="19"/>
  <c r="AF109" i="19"/>
  <c r="AD109" i="19"/>
  <c r="AB109" i="19"/>
  <c r="Z109" i="19"/>
  <c r="X109" i="19"/>
  <c r="V109" i="19"/>
  <c r="T109" i="19"/>
  <c r="R109" i="19"/>
  <c r="P109" i="19"/>
  <c r="N109" i="19"/>
  <c r="L109" i="19"/>
  <c r="J109" i="19"/>
  <c r="H109" i="19"/>
  <c r="F109" i="19"/>
  <c r="C109" i="19"/>
  <c r="AL108" i="19"/>
  <c r="AJ108" i="19"/>
  <c r="AH108" i="19"/>
  <c r="AF108" i="19"/>
  <c r="AD108" i="19"/>
  <c r="AB108" i="19"/>
  <c r="Z108" i="19"/>
  <c r="X108" i="19"/>
  <c r="V108" i="19"/>
  <c r="T108" i="19"/>
  <c r="R108" i="19"/>
  <c r="P108" i="19"/>
  <c r="N108" i="19"/>
  <c r="L108" i="19"/>
  <c r="J108" i="19"/>
  <c r="H108" i="19"/>
  <c r="F108" i="19"/>
  <c r="C108" i="19"/>
  <c r="AL104" i="19"/>
  <c r="AJ104" i="19"/>
  <c r="AH104" i="19"/>
  <c r="AF104" i="19"/>
  <c r="AD104" i="19"/>
  <c r="AB104" i="19"/>
  <c r="Z104" i="19"/>
  <c r="X104" i="19"/>
  <c r="V104" i="19"/>
  <c r="T104" i="19"/>
  <c r="R104" i="19"/>
  <c r="P104" i="19"/>
  <c r="N104" i="19"/>
  <c r="L104" i="19"/>
  <c r="J104" i="19"/>
  <c r="H104" i="19"/>
  <c r="F104" i="19"/>
  <c r="AL103" i="19"/>
  <c r="AJ103" i="19"/>
  <c r="AH103" i="19"/>
  <c r="AF103" i="19"/>
  <c r="AD103" i="19"/>
  <c r="AB103" i="19"/>
  <c r="Z103" i="19"/>
  <c r="X103" i="19"/>
  <c r="V103" i="19"/>
  <c r="T103" i="19"/>
  <c r="R103" i="19"/>
  <c r="P103" i="19"/>
  <c r="N103" i="19"/>
  <c r="L103" i="19"/>
  <c r="J103" i="19"/>
  <c r="H103" i="19"/>
  <c r="F103" i="19"/>
  <c r="AL102" i="19"/>
  <c r="AJ102" i="19"/>
  <c r="AH102" i="19"/>
  <c r="AF102" i="19"/>
  <c r="AD102" i="19"/>
  <c r="AB102" i="19"/>
  <c r="Z102" i="19"/>
  <c r="X102" i="19"/>
  <c r="V102" i="19"/>
  <c r="T102" i="19"/>
  <c r="R102" i="19"/>
  <c r="P102" i="19"/>
  <c r="N102" i="19"/>
  <c r="L102" i="19"/>
  <c r="J102" i="19"/>
  <c r="H102" i="19"/>
  <c r="F102" i="19"/>
  <c r="AL101" i="19"/>
  <c r="AJ101" i="19"/>
  <c r="AH101" i="19"/>
  <c r="AF101" i="19"/>
  <c r="AD101" i="19"/>
  <c r="AB101" i="19"/>
  <c r="Z101" i="19"/>
  <c r="X101" i="19"/>
  <c r="V101" i="19"/>
  <c r="T101" i="19"/>
  <c r="R101" i="19"/>
  <c r="P101" i="19"/>
  <c r="N101" i="19"/>
  <c r="L101" i="19"/>
  <c r="J101" i="19"/>
  <c r="H101" i="19"/>
  <c r="F101" i="19"/>
  <c r="C101" i="19"/>
  <c r="AL100" i="19"/>
  <c r="AJ100" i="19"/>
  <c r="AH100" i="19"/>
  <c r="AF100" i="19"/>
  <c r="AD100" i="19"/>
  <c r="AB100" i="19"/>
  <c r="Z100" i="19"/>
  <c r="X100" i="19"/>
  <c r="V100" i="19"/>
  <c r="T100" i="19"/>
  <c r="R100" i="19"/>
  <c r="P100" i="19"/>
  <c r="N100" i="19"/>
  <c r="L100" i="19"/>
  <c r="J100" i="19"/>
  <c r="H100" i="19"/>
  <c r="F100" i="19"/>
  <c r="C100" i="19"/>
  <c r="AL99" i="19"/>
  <c r="AJ99" i="19"/>
  <c r="AH99" i="19"/>
  <c r="AF99" i="19"/>
  <c r="AD99" i="19"/>
  <c r="AB99" i="19"/>
  <c r="Z99" i="19"/>
  <c r="X99" i="19"/>
  <c r="V99" i="19"/>
  <c r="T99" i="19"/>
  <c r="R99" i="19"/>
  <c r="P99" i="19"/>
  <c r="N99" i="19"/>
  <c r="L99" i="19"/>
  <c r="J99" i="19"/>
  <c r="H99" i="19"/>
  <c r="F99" i="19"/>
  <c r="C99" i="19"/>
  <c r="AL95" i="19"/>
  <c r="AJ95" i="19"/>
  <c r="AH95" i="19"/>
  <c r="AF95" i="19"/>
  <c r="AD95" i="19"/>
  <c r="AB95" i="19"/>
  <c r="Z95" i="19"/>
  <c r="X95" i="19"/>
  <c r="V95" i="19"/>
  <c r="T95" i="19"/>
  <c r="R95" i="19"/>
  <c r="P95" i="19"/>
  <c r="N95" i="19"/>
  <c r="L95" i="19"/>
  <c r="J95" i="19"/>
  <c r="H95" i="19"/>
  <c r="F95" i="19"/>
  <c r="C95" i="19"/>
  <c r="AL94" i="19"/>
  <c r="AJ94" i="19"/>
  <c r="AH94" i="19"/>
  <c r="AF94" i="19"/>
  <c r="AD94" i="19"/>
  <c r="AB94" i="19"/>
  <c r="Z94" i="19"/>
  <c r="X94" i="19"/>
  <c r="V94" i="19"/>
  <c r="T94" i="19"/>
  <c r="R94" i="19"/>
  <c r="P94" i="19"/>
  <c r="N94" i="19"/>
  <c r="L94" i="19"/>
  <c r="J94" i="19"/>
  <c r="H94" i="19"/>
  <c r="F94" i="19"/>
  <c r="C94" i="19"/>
  <c r="AL93" i="19"/>
  <c r="AJ93" i="19"/>
  <c r="AH93" i="19"/>
  <c r="AF93" i="19"/>
  <c r="AD93" i="19"/>
  <c r="AB93" i="19"/>
  <c r="Z93" i="19"/>
  <c r="X93" i="19"/>
  <c r="V93" i="19"/>
  <c r="T93" i="19"/>
  <c r="R93" i="19"/>
  <c r="P93" i="19"/>
  <c r="N93" i="19"/>
  <c r="L93" i="19"/>
  <c r="J93" i="19"/>
  <c r="H93" i="19"/>
  <c r="F93" i="19"/>
  <c r="C93" i="19"/>
  <c r="AL89" i="19"/>
  <c r="AJ89" i="19"/>
  <c r="AH89" i="19"/>
  <c r="AF89" i="19"/>
  <c r="AD89" i="19"/>
  <c r="AB89" i="19"/>
  <c r="Z89" i="19"/>
  <c r="X89" i="19"/>
  <c r="V89" i="19"/>
  <c r="T89" i="19"/>
  <c r="R89" i="19"/>
  <c r="P89" i="19"/>
  <c r="N89" i="19"/>
  <c r="L89" i="19"/>
  <c r="J89" i="19"/>
  <c r="H89" i="19"/>
  <c r="F89" i="19"/>
  <c r="AL88" i="19"/>
  <c r="AJ88" i="19"/>
  <c r="AH88" i="19"/>
  <c r="AF88" i="19"/>
  <c r="AD88" i="19"/>
  <c r="AB88" i="19"/>
  <c r="Z88" i="19"/>
  <c r="X88" i="19"/>
  <c r="V88" i="19"/>
  <c r="T88" i="19"/>
  <c r="R88" i="19"/>
  <c r="P88" i="19"/>
  <c r="N88" i="19"/>
  <c r="L88" i="19"/>
  <c r="J88" i="19"/>
  <c r="H88" i="19"/>
  <c r="F88" i="19"/>
  <c r="AL87" i="19"/>
  <c r="AJ87" i="19"/>
  <c r="AH87" i="19"/>
  <c r="AF87" i="19"/>
  <c r="AD87" i="19"/>
  <c r="AB87" i="19"/>
  <c r="Z87" i="19"/>
  <c r="X87" i="19"/>
  <c r="V87" i="19"/>
  <c r="T87" i="19"/>
  <c r="R87" i="19"/>
  <c r="P87" i="19"/>
  <c r="N87" i="19"/>
  <c r="L87" i="19"/>
  <c r="J87" i="19"/>
  <c r="H87" i="19"/>
  <c r="F87" i="19"/>
  <c r="C87" i="19"/>
  <c r="AL86" i="19"/>
  <c r="AJ86" i="19"/>
  <c r="AH86" i="19"/>
  <c r="AF86" i="19"/>
  <c r="AD86" i="19"/>
  <c r="AB86" i="19"/>
  <c r="Z86" i="19"/>
  <c r="X86" i="19"/>
  <c r="V86" i="19"/>
  <c r="T86" i="19"/>
  <c r="R86" i="19"/>
  <c r="P86" i="19"/>
  <c r="N86" i="19"/>
  <c r="L86" i="19"/>
  <c r="J86" i="19"/>
  <c r="H86" i="19"/>
  <c r="F86" i="19"/>
  <c r="C86" i="19"/>
  <c r="AL85" i="19"/>
  <c r="AJ85" i="19"/>
  <c r="AH85" i="19"/>
  <c r="AF85" i="19"/>
  <c r="AD85" i="19"/>
  <c r="AB85" i="19"/>
  <c r="Z85" i="19"/>
  <c r="X85" i="19"/>
  <c r="V85" i="19"/>
  <c r="T85" i="19"/>
  <c r="R85" i="19"/>
  <c r="P85" i="19"/>
  <c r="N85" i="19"/>
  <c r="L85" i="19"/>
  <c r="J85" i="19"/>
  <c r="H85" i="19"/>
  <c r="F85" i="19"/>
  <c r="C85" i="19"/>
  <c r="AL84" i="19"/>
  <c r="AJ84" i="19"/>
  <c r="AH84" i="19"/>
  <c r="AF84" i="19"/>
  <c r="AD84" i="19"/>
  <c r="AB84" i="19"/>
  <c r="Z84" i="19"/>
  <c r="X84" i="19"/>
  <c r="V84" i="19"/>
  <c r="T84" i="19"/>
  <c r="R84" i="19"/>
  <c r="P84" i="19"/>
  <c r="N84" i="19"/>
  <c r="L84" i="19"/>
  <c r="J84" i="19"/>
  <c r="H84" i="19"/>
  <c r="F84" i="19"/>
  <c r="C84" i="19"/>
  <c r="AL83" i="19"/>
  <c r="AJ83" i="19"/>
  <c r="AH83" i="19"/>
  <c r="AF83" i="19"/>
  <c r="AD83" i="19"/>
  <c r="AB83" i="19"/>
  <c r="Z83" i="19"/>
  <c r="X83" i="19"/>
  <c r="V83" i="19"/>
  <c r="T83" i="19"/>
  <c r="R83" i="19"/>
  <c r="P83" i="19"/>
  <c r="N83" i="19"/>
  <c r="L83" i="19"/>
  <c r="J83" i="19"/>
  <c r="H83" i="19"/>
  <c r="F83" i="19"/>
  <c r="C83" i="19"/>
  <c r="AL82" i="19"/>
  <c r="AJ82" i="19"/>
  <c r="AH82" i="19"/>
  <c r="AF82" i="19"/>
  <c r="AD82" i="19"/>
  <c r="AB82" i="19"/>
  <c r="Z82" i="19"/>
  <c r="X82" i="19"/>
  <c r="V82" i="19"/>
  <c r="T82" i="19"/>
  <c r="R82" i="19"/>
  <c r="P82" i="19"/>
  <c r="N82" i="19"/>
  <c r="L82" i="19"/>
  <c r="J82" i="19"/>
  <c r="H82" i="19"/>
  <c r="F82" i="19"/>
  <c r="C82" i="19"/>
  <c r="AL81" i="19"/>
  <c r="AJ81" i="19"/>
  <c r="AH81" i="19"/>
  <c r="AF81" i="19"/>
  <c r="AD81" i="19"/>
  <c r="AB81" i="19"/>
  <c r="Z81" i="19"/>
  <c r="X81" i="19"/>
  <c r="V81" i="19"/>
  <c r="T81" i="19"/>
  <c r="R81" i="19"/>
  <c r="P81" i="19"/>
  <c r="N81" i="19"/>
  <c r="L81" i="19"/>
  <c r="J81" i="19"/>
  <c r="H81" i="19"/>
  <c r="F81" i="19"/>
  <c r="C81" i="19"/>
  <c r="AL80" i="19"/>
  <c r="AJ80" i="19"/>
  <c r="AH80" i="19"/>
  <c r="AF80" i="19"/>
  <c r="AD80" i="19"/>
  <c r="AB80" i="19"/>
  <c r="Z80" i="19"/>
  <c r="X80" i="19"/>
  <c r="V80" i="19"/>
  <c r="T80" i="19"/>
  <c r="R80" i="19"/>
  <c r="P80" i="19"/>
  <c r="N80" i="19"/>
  <c r="L80" i="19"/>
  <c r="J80" i="19"/>
  <c r="H80" i="19"/>
  <c r="F80" i="19"/>
  <c r="C80" i="19"/>
  <c r="AL76" i="19"/>
  <c r="AJ76" i="19"/>
  <c r="AH76" i="19"/>
  <c r="AF76" i="19"/>
  <c r="AD76" i="19"/>
  <c r="AB76" i="19"/>
  <c r="Z76" i="19"/>
  <c r="X76" i="19"/>
  <c r="V76" i="19"/>
  <c r="T76" i="19"/>
  <c r="R76" i="19"/>
  <c r="P76" i="19"/>
  <c r="N76" i="19"/>
  <c r="L76" i="19"/>
  <c r="J76" i="19"/>
  <c r="H76" i="19"/>
  <c r="F76" i="19"/>
  <c r="AL75" i="19"/>
  <c r="AJ75" i="19"/>
  <c r="AH75" i="19"/>
  <c r="AF75" i="19"/>
  <c r="AD75" i="19"/>
  <c r="AB75" i="19"/>
  <c r="Z75" i="19"/>
  <c r="X75" i="19"/>
  <c r="V75" i="19"/>
  <c r="T75" i="19"/>
  <c r="R75" i="19"/>
  <c r="P75" i="19"/>
  <c r="N75" i="19"/>
  <c r="L75" i="19"/>
  <c r="J75" i="19"/>
  <c r="H75" i="19"/>
  <c r="F75" i="19"/>
  <c r="AL74" i="19"/>
  <c r="AJ74" i="19"/>
  <c r="AH74" i="19"/>
  <c r="AF74" i="19"/>
  <c r="AD74" i="19"/>
  <c r="AB74" i="19"/>
  <c r="Z74" i="19"/>
  <c r="X74" i="19"/>
  <c r="V74" i="19"/>
  <c r="T74" i="19"/>
  <c r="R74" i="19"/>
  <c r="P74" i="19"/>
  <c r="N74" i="19"/>
  <c r="L74" i="19"/>
  <c r="J74" i="19"/>
  <c r="H74" i="19"/>
  <c r="F74" i="19"/>
  <c r="AL73" i="19"/>
  <c r="AJ73" i="19"/>
  <c r="AH73" i="19"/>
  <c r="AF73" i="19"/>
  <c r="AD73" i="19"/>
  <c r="AB73" i="19"/>
  <c r="Z73" i="19"/>
  <c r="X73" i="19"/>
  <c r="V73" i="19"/>
  <c r="T73" i="19"/>
  <c r="R73" i="19"/>
  <c r="P73" i="19"/>
  <c r="N73" i="19"/>
  <c r="L73" i="19"/>
  <c r="J73" i="19"/>
  <c r="H73" i="19"/>
  <c r="F73" i="19"/>
  <c r="AL72" i="19"/>
  <c r="AJ72" i="19"/>
  <c r="AH72" i="19"/>
  <c r="AF72" i="19"/>
  <c r="AD72" i="19"/>
  <c r="AB72" i="19"/>
  <c r="Z72" i="19"/>
  <c r="X72" i="19"/>
  <c r="V72" i="19"/>
  <c r="T72" i="19"/>
  <c r="R72" i="19"/>
  <c r="P72" i="19"/>
  <c r="N72" i="19"/>
  <c r="L72" i="19"/>
  <c r="J72" i="19"/>
  <c r="H72" i="19"/>
  <c r="F72" i="19"/>
  <c r="AL71" i="19"/>
  <c r="AJ71" i="19"/>
  <c r="AH71" i="19"/>
  <c r="AF71" i="19"/>
  <c r="AD71" i="19"/>
  <c r="AB71" i="19"/>
  <c r="Z71" i="19"/>
  <c r="X71" i="19"/>
  <c r="V71" i="19"/>
  <c r="T71" i="19"/>
  <c r="R71" i="19"/>
  <c r="P71" i="19"/>
  <c r="N71" i="19"/>
  <c r="L71" i="19"/>
  <c r="J71" i="19"/>
  <c r="H71" i="19"/>
  <c r="F71" i="19"/>
  <c r="AL70" i="19"/>
  <c r="AJ70" i="19"/>
  <c r="AH70" i="19"/>
  <c r="AF70" i="19"/>
  <c r="AD70" i="19"/>
  <c r="AB70" i="19"/>
  <c r="Z70" i="19"/>
  <c r="X70" i="19"/>
  <c r="V70" i="19"/>
  <c r="T70" i="19"/>
  <c r="R70" i="19"/>
  <c r="P70" i="19"/>
  <c r="N70" i="19"/>
  <c r="L70" i="19"/>
  <c r="J70" i="19"/>
  <c r="H70" i="19"/>
  <c r="F70" i="19"/>
  <c r="AB69" i="19"/>
  <c r="Z69" i="19"/>
  <c r="X69" i="19"/>
  <c r="V69" i="19"/>
  <c r="T69" i="19"/>
  <c r="R69" i="19"/>
  <c r="P69" i="19"/>
  <c r="N69" i="19"/>
  <c r="L69" i="19"/>
  <c r="J69" i="19"/>
  <c r="H69" i="19"/>
  <c r="F69" i="19"/>
  <c r="AL68" i="19"/>
  <c r="AJ68" i="19"/>
  <c r="AH68" i="19"/>
  <c r="AF68" i="19"/>
  <c r="AD68" i="19"/>
  <c r="AB68" i="19"/>
  <c r="Z68" i="19"/>
  <c r="X68" i="19"/>
  <c r="V68" i="19"/>
  <c r="T68" i="19"/>
  <c r="R68" i="19"/>
  <c r="P68" i="19"/>
  <c r="N68" i="19"/>
  <c r="L68" i="19"/>
  <c r="J68" i="19"/>
  <c r="H68" i="19"/>
  <c r="F68" i="19"/>
  <c r="AL67" i="19"/>
  <c r="AJ67" i="19"/>
  <c r="AH67" i="19"/>
  <c r="AF67" i="19"/>
  <c r="AD67" i="19"/>
  <c r="AB67" i="19"/>
  <c r="Z67" i="19"/>
  <c r="X67" i="19"/>
  <c r="V67" i="19"/>
  <c r="T67" i="19"/>
  <c r="R67" i="19"/>
  <c r="P67" i="19"/>
  <c r="N67" i="19"/>
  <c r="L67" i="19"/>
  <c r="J67" i="19"/>
  <c r="H67" i="19"/>
  <c r="F67" i="19"/>
  <c r="AL66" i="19"/>
  <c r="AJ66" i="19"/>
  <c r="AH66" i="19"/>
  <c r="AF66" i="19"/>
  <c r="AD66" i="19"/>
  <c r="AB66" i="19"/>
  <c r="Z66" i="19"/>
  <c r="X66" i="19"/>
  <c r="V66" i="19"/>
  <c r="T66" i="19"/>
  <c r="R66" i="19"/>
  <c r="P66" i="19"/>
  <c r="N66" i="19"/>
  <c r="L66" i="19"/>
  <c r="J66" i="19"/>
  <c r="H66" i="19"/>
  <c r="F66" i="19"/>
  <c r="AL65" i="19"/>
  <c r="AJ65" i="19"/>
  <c r="AH65" i="19"/>
  <c r="AF65" i="19"/>
  <c r="AD65" i="19"/>
  <c r="AB65" i="19"/>
  <c r="Z65" i="19"/>
  <c r="X65" i="19"/>
  <c r="V65" i="19"/>
  <c r="T65" i="19"/>
  <c r="R65" i="19"/>
  <c r="P65" i="19"/>
  <c r="N65" i="19"/>
  <c r="L65" i="19"/>
  <c r="J65" i="19"/>
  <c r="H65" i="19"/>
  <c r="F65" i="19"/>
  <c r="AL64" i="19"/>
  <c r="AJ64" i="19"/>
  <c r="AH64" i="19"/>
  <c r="AF64" i="19"/>
  <c r="AD64" i="19"/>
  <c r="AB64" i="19"/>
  <c r="Z64" i="19"/>
  <c r="X64" i="19"/>
  <c r="V64" i="19"/>
  <c r="T64" i="19"/>
  <c r="R64" i="19"/>
  <c r="P64" i="19"/>
  <c r="N64" i="19"/>
  <c r="L64" i="19"/>
  <c r="J64" i="19"/>
  <c r="H64" i="19"/>
  <c r="F64" i="19"/>
  <c r="AL63" i="19"/>
  <c r="AJ63" i="19"/>
  <c r="AH63" i="19"/>
  <c r="AF63" i="19"/>
  <c r="AD63" i="19"/>
  <c r="AB63" i="19"/>
  <c r="Z63" i="19"/>
  <c r="X63" i="19"/>
  <c r="V63" i="19"/>
  <c r="T63" i="19"/>
  <c r="R63" i="19"/>
  <c r="P63" i="19"/>
  <c r="N63" i="19"/>
  <c r="L63" i="19"/>
  <c r="J63" i="19"/>
  <c r="H63" i="19"/>
  <c r="F63" i="19"/>
  <c r="AL62" i="19"/>
  <c r="AJ62" i="19"/>
  <c r="AH62" i="19"/>
  <c r="AF62" i="19"/>
  <c r="AD62" i="19"/>
  <c r="AB62" i="19"/>
  <c r="Z62" i="19"/>
  <c r="X62" i="19"/>
  <c r="V62" i="19"/>
  <c r="T62" i="19"/>
  <c r="R62" i="19"/>
  <c r="P62" i="19"/>
  <c r="N62" i="19"/>
  <c r="L62" i="19"/>
  <c r="J62" i="19"/>
  <c r="H62" i="19"/>
  <c r="F62" i="19"/>
  <c r="AL61" i="19"/>
  <c r="AJ61" i="19"/>
  <c r="AH61" i="19"/>
  <c r="AF61" i="19"/>
  <c r="AD61" i="19"/>
  <c r="AB61" i="19"/>
  <c r="Z61" i="19"/>
  <c r="X61" i="19"/>
  <c r="V61" i="19"/>
  <c r="T61" i="19"/>
  <c r="R61" i="19"/>
  <c r="P61" i="19"/>
  <c r="N61" i="19"/>
  <c r="L61" i="19"/>
  <c r="J61" i="19"/>
  <c r="H61" i="19"/>
  <c r="F61" i="19"/>
  <c r="AL60" i="19"/>
  <c r="AJ60" i="19"/>
  <c r="AH60" i="19"/>
  <c r="AF60" i="19"/>
  <c r="AD60" i="19"/>
  <c r="AB60" i="19"/>
  <c r="Z60" i="19"/>
  <c r="X60" i="19"/>
  <c r="V60" i="19"/>
  <c r="T60" i="19"/>
  <c r="R60" i="19"/>
  <c r="P60" i="19"/>
  <c r="N60" i="19"/>
  <c r="L60" i="19"/>
  <c r="J60" i="19"/>
  <c r="H60" i="19"/>
  <c r="F60" i="19"/>
  <c r="AL59" i="19"/>
  <c r="AJ59" i="19"/>
  <c r="AH59" i="19"/>
  <c r="AF59" i="19"/>
  <c r="AD59" i="19"/>
  <c r="AB59" i="19"/>
  <c r="Z59" i="19"/>
  <c r="X59" i="19"/>
  <c r="V59" i="19"/>
  <c r="T59" i="19"/>
  <c r="R59" i="19"/>
  <c r="P59" i="19"/>
  <c r="N59" i="19"/>
  <c r="L59" i="19"/>
  <c r="J59" i="19"/>
  <c r="H59" i="19"/>
  <c r="D59" i="19"/>
  <c r="F59" i="19" s="1"/>
  <c r="AL58" i="19"/>
  <c r="AJ58" i="19"/>
  <c r="AH58" i="19"/>
  <c r="AF58" i="19"/>
  <c r="AD58" i="19"/>
  <c r="AB58" i="19"/>
  <c r="Z58" i="19"/>
  <c r="X58" i="19"/>
  <c r="V58" i="19"/>
  <c r="T58" i="19"/>
  <c r="R58" i="19"/>
  <c r="P58" i="19"/>
  <c r="N58" i="19"/>
  <c r="L58" i="19"/>
  <c r="J58" i="19"/>
  <c r="H58" i="19"/>
  <c r="D58" i="19"/>
  <c r="F58" i="19" s="1"/>
  <c r="AL57" i="19"/>
  <c r="AJ57" i="19"/>
  <c r="AH57" i="19"/>
  <c r="AF57" i="19"/>
  <c r="AD57" i="19"/>
  <c r="AB57" i="19"/>
  <c r="Z57" i="19"/>
  <c r="X57" i="19"/>
  <c r="V57" i="19"/>
  <c r="T57" i="19"/>
  <c r="R57" i="19"/>
  <c r="P57" i="19"/>
  <c r="N57" i="19"/>
  <c r="L57" i="19"/>
  <c r="J57" i="19"/>
  <c r="H57" i="19"/>
  <c r="F57" i="19"/>
  <c r="AL56" i="19"/>
  <c r="AJ56" i="19"/>
  <c r="AH56" i="19"/>
  <c r="AF56" i="19"/>
  <c r="AD56" i="19"/>
  <c r="AB56" i="19"/>
  <c r="Z56" i="19"/>
  <c r="X56" i="19"/>
  <c r="V56" i="19"/>
  <c r="T56" i="19"/>
  <c r="R56" i="19"/>
  <c r="P56" i="19"/>
  <c r="N56" i="19"/>
  <c r="L56" i="19"/>
  <c r="J56" i="19"/>
  <c r="H56" i="19"/>
  <c r="F56" i="19"/>
  <c r="AL55" i="19"/>
  <c r="AJ55" i="19"/>
  <c r="AH55" i="19"/>
  <c r="AF55" i="19"/>
  <c r="AD55" i="19"/>
  <c r="AB55" i="19"/>
  <c r="Z55" i="19"/>
  <c r="X55" i="19"/>
  <c r="V55" i="19"/>
  <c r="T55" i="19"/>
  <c r="R55" i="19"/>
  <c r="P55" i="19"/>
  <c r="N55" i="19"/>
  <c r="L55" i="19"/>
  <c r="J55" i="19"/>
  <c r="H55" i="19"/>
  <c r="F55" i="19"/>
  <c r="AL54" i="19"/>
  <c r="AJ54" i="19"/>
  <c r="AH54" i="19"/>
  <c r="AF54" i="19"/>
  <c r="AD54" i="19"/>
  <c r="AB54" i="19"/>
  <c r="Z54" i="19"/>
  <c r="X54" i="19"/>
  <c r="V54" i="19"/>
  <c r="T54" i="19"/>
  <c r="R54" i="19"/>
  <c r="P54" i="19"/>
  <c r="N54" i="19"/>
  <c r="L54" i="19"/>
  <c r="J54" i="19"/>
  <c r="H54" i="19"/>
  <c r="F54" i="19"/>
  <c r="AL53" i="19"/>
  <c r="AJ53" i="19"/>
  <c r="AH53" i="19"/>
  <c r="AF53" i="19"/>
  <c r="AD53" i="19"/>
  <c r="AB53" i="19"/>
  <c r="Z53" i="19"/>
  <c r="X53" i="19"/>
  <c r="V53" i="19"/>
  <c r="T53" i="19"/>
  <c r="R53" i="19"/>
  <c r="P53" i="19"/>
  <c r="N53" i="19"/>
  <c r="L53" i="19"/>
  <c r="J53" i="19"/>
  <c r="H53" i="19"/>
  <c r="F53" i="19"/>
  <c r="C53" i="19"/>
  <c r="AL52" i="19"/>
  <c r="AJ52" i="19"/>
  <c r="AH52" i="19"/>
  <c r="AF52" i="19"/>
  <c r="AD52" i="19"/>
  <c r="AB52" i="19"/>
  <c r="Z52" i="19"/>
  <c r="X52" i="19"/>
  <c r="V52" i="19"/>
  <c r="T52" i="19"/>
  <c r="R52" i="19"/>
  <c r="P52" i="19"/>
  <c r="N52" i="19"/>
  <c r="L52" i="19"/>
  <c r="J52" i="19"/>
  <c r="H52" i="19"/>
  <c r="F52" i="19"/>
  <c r="C52" i="19"/>
  <c r="AL51" i="19"/>
  <c r="AJ51" i="19"/>
  <c r="AH51" i="19"/>
  <c r="AF51" i="19"/>
  <c r="AD51" i="19"/>
  <c r="AB51" i="19"/>
  <c r="Z51" i="19"/>
  <c r="X51" i="19"/>
  <c r="V51" i="19"/>
  <c r="T51" i="19"/>
  <c r="R51" i="19"/>
  <c r="P51" i="19"/>
  <c r="N51" i="19"/>
  <c r="L51" i="19"/>
  <c r="J51" i="19"/>
  <c r="H51" i="19"/>
  <c r="F51" i="19"/>
  <c r="C51" i="19"/>
  <c r="AL50" i="19"/>
  <c r="AJ50" i="19"/>
  <c r="AH50" i="19"/>
  <c r="AF50" i="19"/>
  <c r="AD50" i="19"/>
  <c r="AB50" i="19"/>
  <c r="Z50" i="19"/>
  <c r="X50" i="19"/>
  <c r="V50" i="19"/>
  <c r="T50" i="19"/>
  <c r="R50" i="19"/>
  <c r="P50" i="19"/>
  <c r="N50" i="19"/>
  <c r="L50" i="19"/>
  <c r="J50" i="19"/>
  <c r="H50" i="19"/>
  <c r="F50" i="19"/>
  <c r="C50" i="19"/>
  <c r="AL45" i="19"/>
  <c r="AJ45" i="19"/>
  <c r="AH45" i="19"/>
  <c r="AF45" i="19"/>
  <c r="AD45" i="19"/>
  <c r="AB45" i="19"/>
  <c r="Z45" i="19"/>
  <c r="X45" i="19"/>
  <c r="V45" i="19"/>
  <c r="T45" i="19"/>
  <c r="R45" i="19"/>
  <c r="P45" i="19"/>
  <c r="N45" i="19"/>
  <c r="L45" i="19"/>
  <c r="J45" i="19"/>
  <c r="H45" i="19"/>
  <c r="F45" i="19"/>
  <c r="AL44" i="19"/>
  <c r="AJ44" i="19"/>
  <c r="AH44" i="19"/>
  <c r="AF44" i="19"/>
  <c r="AD44" i="19"/>
  <c r="AB44" i="19"/>
  <c r="Z44" i="19"/>
  <c r="X44" i="19"/>
  <c r="V44" i="19"/>
  <c r="T44" i="19"/>
  <c r="R44" i="19"/>
  <c r="P44" i="19"/>
  <c r="N44" i="19"/>
  <c r="L44" i="19"/>
  <c r="J44" i="19"/>
  <c r="H44" i="19"/>
  <c r="F44" i="19"/>
  <c r="AL43" i="19"/>
  <c r="AJ43" i="19"/>
  <c r="AH43" i="19"/>
  <c r="AF43" i="19"/>
  <c r="AD43" i="19"/>
  <c r="AB43" i="19"/>
  <c r="Z43" i="19"/>
  <c r="X43" i="19"/>
  <c r="V43" i="19"/>
  <c r="T43" i="19"/>
  <c r="R43" i="19"/>
  <c r="P43" i="19"/>
  <c r="N43" i="19"/>
  <c r="L43" i="19"/>
  <c r="J43" i="19"/>
  <c r="H43" i="19"/>
  <c r="F43" i="19"/>
  <c r="AL42" i="19"/>
  <c r="AJ42" i="19"/>
  <c r="AH42" i="19"/>
  <c r="AF42" i="19"/>
  <c r="AD42" i="19"/>
  <c r="AB42" i="19"/>
  <c r="Z42" i="19"/>
  <c r="X42" i="19"/>
  <c r="V42" i="19"/>
  <c r="T42" i="19"/>
  <c r="R42" i="19"/>
  <c r="P42" i="19"/>
  <c r="N42" i="19"/>
  <c r="L42" i="19"/>
  <c r="J42" i="19"/>
  <c r="H42" i="19"/>
  <c r="F42" i="19"/>
  <c r="AL41" i="19"/>
  <c r="AJ41" i="19"/>
  <c r="AH41" i="19"/>
  <c r="AF41" i="19"/>
  <c r="AD41" i="19"/>
  <c r="AB41" i="19"/>
  <c r="Z41" i="19"/>
  <c r="X41" i="19"/>
  <c r="V41" i="19"/>
  <c r="T41" i="19"/>
  <c r="R41" i="19"/>
  <c r="P41" i="19"/>
  <c r="N41" i="19"/>
  <c r="L41" i="19"/>
  <c r="J41" i="19"/>
  <c r="H41" i="19"/>
  <c r="F41" i="19"/>
  <c r="AL40" i="19"/>
  <c r="AJ40" i="19"/>
  <c r="AH40" i="19"/>
  <c r="AF40" i="19"/>
  <c r="AD40" i="19"/>
  <c r="AB40" i="19"/>
  <c r="Z40" i="19"/>
  <c r="X40" i="19"/>
  <c r="V40" i="19"/>
  <c r="T40" i="19"/>
  <c r="R40" i="19"/>
  <c r="P40" i="19"/>
  <c r="N40" i="19"/>
  <c r="L40" i="19"/>
  <c r="J40" i="19"/>
  <c r="H40" i="19"/>
  <c r="F40" i="19"/>
  <c r="AL39" i="19"/>
  <c r="AJ39" i="19"/>
  <c r="AH39" i="19"/>
  <c r="AF39" i="19"/>
  <c r="AD39" i="19"/>
  <c r="AB39" i="19"/>
  <c r="Z39" i="19"/>
  <c r="X39" i="19"/>
  <c r="V39" i="19"/>
  <c r="T39" i="19"/>
  <c r="R39" i="19"/>
  <c r="P39" i="19"/>
  <c r="N39" i="19"/>
  <c r="L39" i="19"/>
  <c r="J39" i="19"/>
  <c r="H39" i="19"/>
  <c r="F39" i="19"/>
  <c r="AL38" i="19"/>
  <c r="AJ38" i="19"/>
  <c r="AH38" i="19"/>
  <c r="AF38" i="19"/>
  <c r="AD38" i="19"/>
  <c r="AB38" i="19"/>
  <c r="Z38" i="19"/>
  <c r="X38" i="19"/>
  <c r="V38" i="19"/>
  <c r="T38" i="19"/>
  <c r="R38" i="19"/>
  <c r="P38" i="19"/>
  <c r="N38" i="19"/>
  <c r="L38" i="19"/>
  <c r="J38" i="19"/>
  <c r="H38" i="19"/>
  <c r="F38" i="19"/>
  <c r="C38" i="19"/>
  <c r="AL37" i="19"/>
  <c r="AJ37" i="19"/>
  <c r="AH37" i="19"/>
  <c r="AF37" i="19"/>
  <c r="AD37" i="19"/>
  <c r="AB37" i="19"/>
  <c r="Z37" i="19"/>
  <c r="X37" i="19"/>
  <c r="V37" i="19"/>
  <c r="T37" i="19"/>
  <c r="R37" i="19"/>
  <c r="P37" i="19"/>
  <c r="N37" i="19"/>
  <c r="L37" i="19"/>
  <c r="J37" i="19"/>
  <c r="H37" i="19"/>
  <c r="F37" i="19"/>
  <c r="C37" i="19"/>
  <c r="AL36" i="19"/>
  <c r="AJ36" i="19"/>
  <c r="AH36" i="19"/>
  <c r="AF36" i="19"/>
  <c r="AD36" i="19"/>
  <c r="AB36" i="19"/>
  <c r="Z36" i="19"/>
  <c r="X36" i="19"/>
  <c r="V36" i="19"/>
  <c r="T36" i="19"/>
  <c r="R36" i="19"/>
  <c r="P36" i="19"/>
  <c r="N36" i="19"/>
  <c r="L36" i="19"/>
  <c r="J36" i="19"/>
  <c r="H36" i="19"/>
  <c r="F36" i="19"/>
  <c r="C36" i="19"/>
  <c r="AL35" i="19"/>
  <c r="AJ35" i="19"/>
  <c r="AH35" i="19"/>
  <c r="AF35" i="19"/>
  <c r="AD35" i="19"/>
  <c r="AB35" i="19"/>
  <c r="Z35" i="19"/>
  <c r="X35" i="19"/>
  <c r="V35" i="19"/>
  <c r="T35" i="19"/>
  <c r="R35" i="19"/>
  <c r="P35" i="19"/>
  <c r="N35" i="19"/>
  <c r="L35" i="19"/>
  <c r="J35" i="19"/>
  <c r="H35" i="19"/>
  <c r="F35" i="19"/>
  <c r="C35" i="19"/>
  <c r="AL34" i="19"/>
  <c r="AJ34" i="19"/>
  <c r="AH34" i="19"/>
  <c r="AF34" i="19"/>
  <c r="AD34" i="19"/>
  <c r="AB34" i="19"/>
  <c r="Z34" i="19"/>
  <c r="X34" i="19"/>
  <c r="V34" i="19"/>
  <c r="T34" i="19"/>
  <c r="R34" i="19"/>
  <c r="P34" i="19"/>
  <c r="N34" i="19"/>
  <c r="L34" i="19"/>
  <c r="J34" i="19"/>
  <c r="H34" i="19"/>
  <c r="F34" i="19"/>
  <c r="C34" i="19"/>
  <c r="AL33" i="19"/>
  <c r="AJ33" i="19"/>
  <c r="AH33" i="19"/>
  <c r="AF33" i="19"/>
  <c r="AD33" i="19"/>
  <c r="AB33" i="19"/>
  <c r="Z33" i="19"/>
  <c r="X33" i="19"/>
  <c r="V33" i="19"/>
  <c r="T33" i="19"/>
  <c r="R33" i="19"/>
  <c r="P33" i="19"/>
  <c r="N33" i="19"/>
  <c r="L33" i="19"/>
  <c r="J33" i="19"/>
  <c r="H33" i="19"/>
  <c r="F33" i="19"/>
  <c r="C33" i="19"/>
  <c r="AL32" i="19"/>
  <c r="AJ32" i="19"/>
  <c r="AH32" i="19"/>
  <c r="AF32" i="19"/>
  <c r="AD32" i="19"/>
  <c r="AB32" i="19"/>
  <c r="Z32" i="19"/>
  <c r="X32" i="19"/>
  <c r="V32" i="19"/>
  <c r="T32" i="19"/>
  <c r="R32" i="19"/>
  <c r="P32" i="19"/>
  <c r="N32" i="19"/>
  <c r="L32" i="19"/>
  <c r="J32" i="19"/>
  <c r="H32" i="19"/>
  <c r="F32" i="19"/>
  <c r="C32" i="19"/>
  <c r="AL31" i="19"/>
  <c r="AJ31" i="19"/>
  <c r="AH31" i="19"/>
  <c r="AF31" i="19"/>
  <c r="AD31" i="19"/>
  <c r="AB31" i="19"/>
  <c r="Z31" i="19"/>
  <c r="X31" i="19"/>
  <c r="V31" i="19"/>
  <c r="T31" i="19"/>
  <c r="R31" i="19"/>
  <c r="P31" i="19"/>
  <c r="N31" i="19"/>
  <c r="L31" i="19"/>
  <c r="J31" i="19"/>
  <c r="H31" i="19"/>
  <c r="F31" i="19"/>
  <c r="C31" i="19"/>
  <c r="AL30" i="19"/>
  <c r="AJ30" i="19"/>
  <c r="AH30" i="19"/>
  <c r="AF30" i="19"/>
  <c r="AD30" i="19"/>
  <c r="AB30" i="19"/>
  <c r="Z30" i="19"/>
  <c r="X30" i="19"/>
  <c r="V30" i="19"/>
  <c r="T30" i="19"/>
  <c r="R30" i="19"/>
  <c r="P30" i="19"/>
  <c r="N30" i="19"/>
  <c r="L30" i="19"/>
  <c r="J30" i="19"/>
  <c r="H30" i="19"/>
  <c r="F30" i="19"/>
  <c r="C30" i="19"/>
  <c r="F29" i="19"/>
  <c r="C29" i="19"/>
  <c r="AL28" i="19"/>
  <c r="AJ28" i="19"/>
  <c r="AH28" i="19"/>
  <c r="AF28" i="19"/>
  <c r="AD28" i="19"/>
  <c r="AB28" i="19"/>
  <c r="Z28" i="19"/>
  <c r="X28" i="19"/>
  <c r="V28" i="19"/>
  <c r="T28" i="19"/>
  <c r="R28" i="19"/>
  <c r="P28" i="19"/>
  <c r="N28" i="19"/>
  <c r="L28" i="19"/>
  <c r="J28" i="19"/>
  <c r="H28" i="19"/>
  <c r="C28" i="19"/>
  <c r="AL27" i="19"/>
  <c r="AJ27" i="19"/>
  <c r="AH27" i="19"/>
  <c r="AF27" i="19"/>
  <c r="AD27" i="19"/>
  <c r="AB27" i="19"/>
  <c r="Z27" i="19"/>
  <c r="X27" i="19"/>
  <c r="V27" i="19"/>
  <c r="T27" i="19"/>
  <c r="R27" i="19"/>
  <c r="P27" i="19"/>
  <c r="N27" i="19"/>
  <c r="L27" i="19"/>
  <c r="J27" i="19"/>
  <c r="H27" i="19"/>
  <c r="F27" i="19"/>
  <c r="C27" i="19"/>
  <c r="AL26" i="19"/>
  <c r="AJ26" i="19"/>
  <c r="AH26" i="19"/>
  <c r="AF26" i="19"/>
  <c r="AD26" i="19"/>
  <c r="AB26" i="19"/>
  <c r="Z26" i="19"/>
  <c r="X26" i="19"/>
  <c r="V26" i="19"/>
  <c r="T26" i="19"/>
  <c r="R26" i="19"/>
  <c r="P26" i="19"/>
  <c r="N26" i="19"/>
  <c r="L26" i="19"/>
  <c r="J26" i="19"/>
  <c r="H26" i="19"/>
  <c r="F26" i="19"/>
  <c r="C26" i="19"/>
  <c r="AL25" i="19"/>
  <c r="AJ25" i="19"/>
  <c r="AH25" i="19"/>
  <c r="AF25" i="19"/>
  <c r="AD25" i="19"/>
  <c r="AB25" i="19"/>
  <c r="Z25" i="19"/>
  <c r="X25" i="19"/>
  <c r="V25" i="19"/>
  <c r="T25" i="19"/>
  <c r="R25" i="19"/>
  <c r="P25" i="19"/>
  <c r="N25" i="19"/>
  <c r="L25" i="19"/>
  <c r="J25" i="19"/>
  <c r="H25" i="19"/>
  <c r="F25" i="19"/>
  <c r="C25" i="19"/>
  <c r="AL24" i="19"/>
  <c r="AJ24" i="19"/>
  <c r="AH24" i="19"/>
  <c r="AF24" i="19"/>
  <c r="AD24" i="19"/>
  <c r="AB24" i="19"/>
  <c r="Z24" i="19"/>
  <c r="X24" i="19"/>
  <c r="V24" i="19"/>
  <c r="T24" i="19"/>
  <c r="R24" i="19"/>
  <c r="P24" i="19"/>
  <c r="N24" i="19"/>
  <c r="L24" i="19"/>
  <c r="J24" i="19"/>
  <c r="H24" i="19"/>
  <c r="F24" i="19"/>
  <c r="C24" i="19"/>
  <c r="AL23" i="19"/>
  <c r="AJ23" i="19"/>
  <c r="AH23" i="19"/>
  <c r="AF23" i="19"/>
  <c r="AD23" i="19"/>
  <c r="AB23" i="19"/>
  <c r="Z23" i="19"/>
  <c r="X23" i="19"/>
  <c r="V23" i="19"/>
  <c r="T23" i="19"/>
  <c r="R23" i="19"/>
  <c r="P23" i="19"/>
  <c r="N23" i="19"/>
  <c r="L23" i="19"/>
  <c r="J23" i="19"/>
  <c r="H23" i="19"/>
  <c r="F23" i="19"/>
  <c r="C23" i="19"/>
  <c r="AL22" i="19"/>
  <c r="AJ22" i="19"/>
  <c r="AH22" i="19"/>
  <c r="AF22" i="19"/>
  <c r="AD22" i="19"/>
  <c r="AB22" i="19"/>
  <c r="Z22" i="19"/>
  <c r="X22" i="19"/>
  <c r="V22" i="19"/>
  <c r="T22" i="19"/>
  <c r="R22" i="19"/>
  <c r="P22" i="19"/>
  <c r="N22" i="19"/>
  <c r="L22" i="19"/>
  <c r="J22" i="19"/>
  <c r="H22" i="19"/>
  <c r="F22" i="19"/>
  <c r="C22" i="19"/>
  <c r="AL21" i="19"/>
  <c r="AJ21" i="19"/>
  <c r="AH21" i="19"/>
  <c r="AF21" i="19"/>
  <c r="AD21" i="19"/>
  <c r="AB21" i="19"/>
  <c r="Z21" i="19"/>
  <c r="X21" i="19"/>
  <c r="V21" i="19"/>
  <c r="T21" i="19"/>
  <c r="R21" i="19"/>
  <c r="N21" i="19"/>
  <c r="M21" i="19"/>
  <c r="P21" i="19" s="1"/>
  <c r="L21" i="19"/>
  <c r="K21" i="19"/>
  <c r="J21" i="19"/>
  <c r="I21" i="19"/>
  <c r="H21" i="19"/>
  <c r="G21" i="19"/>
  <c r="F21" i="19"/>
  <c r="E21" i="19"/>
  <c r="C21" i="19"/>
  <c r="AL17" i="19"/>
  <c r="AJ17" i="19"/>
  <c r="AH17" i="19"/>
  <c r="AF17" i="19"/>
  <c r="AD17" i="19"/>
  <c r="AB17" i="19"/>
  <c r="Z17" i="19"/>
  <c r="X17" i="19"/>
  <c r="S17" i="19"/>
  <c r="T17" i="19" s="1"/>
  <c r="R17" i="19"/>
  <c r="P17" i="19"/>
  <c r="N17" i="19"/>
  <c r="L17" i="19"/>
  <c r="J17" i="19"/>
  <c r="H17" i="19"/>
  <c r="F17" i="19"/>
  <c r="AL16" i="19"/>
  <c r="AJ16" i="19"/>
  <c r="AH16" i="19"/>
  <c r="AF16" i="19"/>
  <c r="AD16" i="19"/>
  <c r="AB16" i="19"/>
  <c r="Z16" i="19"/>
  <c r="X16" i="19"/>
  <c r="V16" i="19"/>
  <c r="T16" i="19"/>
  <c r="R16" i="19"/>
  <c r="P16" i="19"/>
  <c r="N16" i="19"/>
  <c r="L16" i="19"/>
  <c r="J16" i="19"/>
  <c r="H16" i="19"/>
  <c r="F16" i="19"/>
  <c r="AL15" i="19"/>
  <c r="AJ15" i="19"/>
  <c r="AH15" i="19"/>
  <c r="AF15" i="19"/>
  <c r="AD15" i="19"/>
  <c r="AB15" i="19"/>
  <c r="Z15" i="19"/>
  <c r="X15" i="19"/>
  <c r="V15" i="19"/>
  <c r="T15" i="19"/>
  <c r="R15" i="19"/>
  <c r="P15" i="19"/>
  <c r="N15" i="19"/>
  <c r="L15" i="19"/>
  <c r="J15" i="19"/>
  <c r="H15" i="19"/>
  <c r="F15" i="19"/>
  <c r="C15" i="19"/>
  <c r="AL14" i="19"/>
  <c r="AJ14" i="19"/>
  <c r="AH14" i="19"/>
  <c r="AF14" i="19"/>
  <c r="AD14" i="19"/>
  <c r="AB14" i="19"/>
  <c r="Z14" i="19"/>
  <c r="X14" i="19"/>
  <c r="V14" i="19"/>
  <c r="T14" i="19"/>
  <c r="R14" i="19"/>
  <c r="P14" i="19"/>
  <c r="N14" i="19"/>
  <c r="L14" i="19"/>
  <c r="J14" i="19"/>
  <c r="H14" i="19"/>
  <c r="F14" i="19"/>
  <c r="C14" i="19"/>
  <c r="AL10" i="19"/>
  <c r="AJ10" i="19"/>
  <c r="AH10" i="19"/>
  <c r="AF10" i="19"/>
  <c r="AD10" i="19"/>
  <c r="AB10" i="19"/>
  <c r="Z10" i="19"/>
  <c r="X10" i="19"/>
  <c r="V10" i="19"/>
  <c r="T10" i="19"/>
  <c r="R10" i="19"/>
  <c r="P10" i="19"/>
  <c r="N10" i="19"/>
  <c r="L10" i="19"/>
  <c r="J10" i="19"/>
  <c r="H10" i="19"/>
  <c r="F10" i="19"/>
  <c r="AL9" i="19"/>
  <c r="AJ9" i="19"/>
  <c r="AH9" i="19"/>
  <c r="AF9" i="19"/>
  <c r="AD9" i="19"/>
  <c r="AB9" i="19"/>
  <c r="Z9" i="19"/>
  <c r="X9" i="19"/>
  <c r="V9" i="19"/>
  <c r="T9" i="19"/>
  <c r="R9" i="19"/>
  <c r="P9" i="19"/>
  <c r="N9" i="19"/>
  <c r="L9" i="19"/>
  <c r="J9" i="19"/>
  <c r="H9" i="19"/>
  <c r="F9" i="19"/>
  <c r="AL8" i="19"/>
  <c r="B8" i="19" s="1"/>
  <c r="AJ8" i="19"/>
  <c r="AH8" i="19"/>
  <c r="AF8" i="19"/>
  <c r="AD8" i="19"/>
  <c r="AB8" i="19"/>
  <c r="Z8" i="19"/>
  <c r="X8" i="19"/>
  <c r="V8" i="19"/>
  <c r="T8" i="19"/>
  <c r="R8" i="19"/>
  <c r="P8" i="19"/>
  <c r="N8" i="19"/>
  <c r="L8" i="19"/>
  <c r="J8" i="19"/>
  <c r="H8" i="19"/>
  <c r="F8" i="19"/>
  <c r="C8" i="19"/>
  <c r="B9" i="19" l="1"/>
  <c r="B16" i="19"/>
  <c r="B17" i="19"/>
  <c r="B21" i="19"/>
  <c r="B22" i="19"/>
  <c r="B23" i="19"/>
  <c r="B24" i="19"/>
  <c r="B25" i="19"/>
  <c r="B10" i="19"/>
  <c r="B14" i="19"/>
  <c r="B15" i="19"/>
  <c r="B28" i="19"/>
  <c r="B30" i="19"/>
  <c r="B31" i="19"/>
  <c r="B32" i="19"/>
  <c r="B33" i="19"/>
  <c r="B34" i="19"/>
  <c r="B35" i="19"/>
  <c r="B36" i="19"/>
  <c r="B37" i="19"/>
  <c r="B38" i="19"/>
  <c r="B40" i="19"/>
  <c r="B42" i="19"/>
  <c r="B44" i="19"/>
  <c r="B54" i="19"/>
  <c r="B56" i="19"/>
  <c r="B60" i="19"/>
  <c r="B62" i="19"/>
  <c r="B64" i="19"/>
  <c r="B66" i="19"/>
  <c r="B68" i="19"/>
  <c r="B71" i="19"/>
  <c r="B73" i="19"/>
  <c r="B75" i="19"/>
  <c r="B88" i="19"/>
  <c r="B102" i="19"/>
  <c r="B104" i="19"/>
  <c r="B108" i="19"/>
  <c r="B109" i="19"/>
  <c r="B111" i="19"/>
  <c r="B113" i="19"/>
  <c r="B115" i="19"/>
  <c r="B117" i="19"/>
  <c r="B126" i="19"/>
  <c r="B136" i="19"/>
  <c r="B138" i="19"/>
  <c r="B142" i="19"/>
  <c r="B143" i="19"/>
  <c r="B144" i="19"/>
  <c r="B146" i="19"/>
  <c r="B148" i="19"/>
  <c r="B150" i="19"/>
  <c r="B152" i="19"/>
  <c r="B154" i="19"/>
  <c r="B158" i="19"/>
  <c r="B171" i="19"/>
  <c r="B176" i="19"/>
  <c r="B178" i="19"/>
  <c r="B182" i="19"/>
  <c r="B183" i="19"/>
  <c r="B189" i="19"/>
  <c r="B193" i="19"/>
  <c r="B194" i="19"/>
  <c r="B195" i="19"/>
  <c r="B197" i="19"/>
  <c r="B198" i="19"/>
  <c r="B201" i="19"/>
  <c r="B203" i="19"/>
  <c r="B207" i="19"/>
  <c r="B208" i="19"/>
  <c r="B209" i="19"/>
  <c r="B210" i="19"/>
  <c r="B211" i="19"/>
  <c r="B26" i="19"/>
  <c r="B27" i="19"/>
  <c r="B39" i="19"/>
  <c r="B41" i="19"/>
  <c r="B43" i="19"/>
  <c r="B45" i="19"/>
  <c r="B50" i="19"/>
  <c r="B51" i="19"/>
  <c r="B52" i="19"/>
  <c r="B53" i="19"/>
  <c r="B55" i="19"/>
  <c r="B57" i="19"/>
  <c r="B58" i="19"/>
  <c r="B59" i="19"/>
  <c r="B61" i="19"/>
  <c r="B63" i="19"/>
  <c r="B65" i="19"/>
  <c r="B67" i="19"/>
  <c r="B70" i="19"/>
  <c r="B72" i="19"/>
  <c r="B74" i="19"/>
  <c r="B76" i="19"/>
  <c r="B80" i="19"/>
  <c r="B81" i="19"/>
  <c r="B82" i="19"/>
  <c r="B83" i="19"/>
  <c r="B84" i="19"/>
  <c r="B85" i="19"/>
  <c r="B86" i="19"/>
  <c r="B87" i="19"/>
  <c r="B89" i="19"/>
  <c r="B93" i="19"/>
  <c r="B94" i="19"/>
  <c r="B95" i="19"/>
  <c r="B99" i="19"/>
  <c r="B100" i="19"/>
  <c r="B101" i="19"/>
  <c r="B103" i="19"/>
  <c r="B110" i="19"/>
  <c r="B112" i="19"/>
  <c r="B114" i="19"/>
  <c r="B116" i="19"/>
  <c r="B118" i="19"/>
  <c r="B122" i="19"/>
  <c r="B123" i="19"/>
  <c r="B124" i="19"/>
  <c r="B125" i="19"/>
  <c r="B127" i="19"/>
  <c r="B131" i="19"/>
  <c r="B132" i="19"/>
  <c r="B133" i="19"/>
  <c r="B134" i="19"/>
  <c r="B135" i="19"/>
  <c r="B137" i="19"/>
  <c r="B145" i="19"/>
  <c r="B147" i="19"/>
  <c r="B149" i="19"/>
  <c r="B151" i="19"/>
  <c r="B153" i="19"/>
  <c r="B159" i="19"/>
  <c r="B163" i="19"/>
  <c r="B164" i="19"/>
  <c r="B165" i="19"/>
  <c r="B166" i="19"/>
  <c r="B167" i="19"/>
  <c r="B168" i="19"/>
  <c r="B169" i="19"/>
  <c r="B170" i="19"/>
  <c r="B172" i="19"/>
  <c r="B175" i="19"/>
  <c r="B177" i="19"/>
  <c r="B184" i="19"/>
  <c r="B188" i="19"/>
  <c r="B196" i="19"/>
  <c r="B199" i="19"/>
  <c r="B202" i="19"/>
  <c r="B212" i="19"/>
  <c r="V17" i="19"/>
  <c r="L198" i="19"/>
  <c r="AH200" i="19"/>
  <c r="B200" i="19" s="1"/>
  <c r="AJ201" i="31" l="1"/>
  <c r="AJ200" i="31"/>
  <c r="AJ199" i="31"/>
  <c r="AJ198" i="31"/>
  <c r="AJ197" i="31"/>
  <c r="AJ185" i="31"/>
  <c r="AJ184" i="31"/>
  <c r="AJ183" i="31"/>
  <c r="AJ178" i="31"/>
  <c r="AJ173" i="31"/>
  <c r="AJ172" i="31"/>
  <c r="AJ160" i="31"/>
  <c r="AJ159" i="31"/>
  <c r="AJ158" i="31"/>
  <c r="AJ157" i="31"/>
  <c r="AJ156" i="31"/>
  <c r="AJ155" i="31"/>
  <c r="AJ154" i="31"/>
  <c r="AJ153" i="31"/>
  <c r="AJ150" i="31"/>
  <c r="AJ136" i="31"/>
  <c r="AJ135" i="31"/>
  <c r="AJ134" i="31"/>
  <c r="C320" i="32"/>
  <c r="D320" i="32" s="1"/>
  <c r="E320" i="32" s="1"/>
  <c r="C317" i="32"/>
  <c r="D317" i="32" s="1"/>
  <c r="E317" i="32" s="1"/>
  <c r="C316" i="32"/>
  <c r="D316" i="32" s="1"/>
  <c r="E316" i="32" s="1"/>
  <c r="C315" i="32"/>
  <c r="D315" i="32" s="1"/>
  <c r="E315" i="32" s="1"/>
  <c r="C313" i="32"/>
  <c r="D313" i="32" s="1"/>
  <c r="E313" i="32" s="1"/>
  <c r="C311" i="32"/>
  <c r="D311" i="32" s="1"/>
  <c r="E311" i="32" s="1"/>
  <c r="C303" i="32"/>
  <c r="D303" i="32" s="1"/>
  <c r="C302" i="32"/>
  <c r="D302" i="32" s="1"/>
  <c r="C301" i="32"/>
  <c r="D301" i="32" s="1"/>
  <c r="C300" i="32"/>
  <c r="D300" i="32" s="1"/>
  <c r="C299" i="32"/>
  <c r="D299" i="32" s="1"/>
  <c r="C298" i="32"/>
  <c r="D298" i="32" s="1"/>
  <c r="C295" i="32"/>
  <c r="D295" i="32" s="1"/>
  <c r="C294" i="32"/>
  <c r="D294" i="32" s="1"/>
  <c r="C292" i="32"/>
  <c r="D292" i="32" s="1"/>
  <c r="D289" i="32"/>
  <c r="E289" i="32" s="1"/>
  <c r="D288" i="32"/>
  <c r="E288" i="32" s="1"/>
  <c r="D287" i="32"/>
  <c r="E287" i="32" s="1"/>
  <c r="C281" i="32"/>
  <c r="D281" i="32" s="1"/>
  <c r="E281" i="32" s="1"/>
  <c r="C278" i="32"/>
  <c r="D278" i="32" s="1"/>
  <c r="E278" i="32" s="1"/>
  <c r="C272" i="32"/>
  <c r="D272" i="32" s="1"/>
  <c r="E272" i="32" s="1"/>
  <c r="C269" i="32"/>
  <c r="D269" i="32" s="1"/>
  <c r="E269" i="32" s="1"/>
  <c r="C267" i="32"/>
  <c r="D267" i="32" s="1"/>
  <c r="E267" i="32" s="1"/>
  <c r="C261" i="32"/>
  <c r="D261" i="32" s="1"/>
  <c r="E261" i="32" s="1"/>
  <c r="C260" i="32"/>
  <c r="D260" i="32" s="1"/>
  <c r="E260" i="32" s="1"/>
  <c r="C259" i="32"/>
  <c r="D259" i="32" s="1"/>
  <c r="E259" i="32" s="1"/>
  <c r="C258" i="32"/>
  <c r="D258" i="32" s="1"/>
  <c r="E258" i="32" s="1"/>
  <c r="C257" i="32"/>
  <c r="D257" i="32" s="1"/>
  <c r="E257" i="32" s="1"/>
  <c r="C256" i="32"/>
  <c r="D256" i="32" s="1"/>
  <c r="E256" i="32" s="1"/>
  <c r="C255" i="32"/>
  <c r="D255" i="32" s="1"/>
  <c r="E255" i="32" s="1"/>
  <c r="C254" i="32"/>
  <c r="D254" i="32" s="1"/>
  <c r="E254" i="32" s="1"/>
  <c r="C251" i="32"/>
  <c r="D251" i="32" s="1"/>
  <c r="E251" i="32" s="1"/>
  <c r="C250" i="32"/>
  <c r="D250" i="32" s="1"/>
  <c r="E250" i="32" s="1"/>
  <c r="C249" i="32"/>
  <c r="D249" i="32" s="1"/>
  <c r="E249" i="32" s="1"/>
  <c r="C248" i="32"/>
  <c r="D248" i="32" s="1"/>
  <c r="E248" i="32" s="1"/>
  <c r="C247" i="32"/>
  <c r="D247" i="32" s="1"/>
  <c r="E247" i="32" s="1"/>
  <c r="C246" i="32"/>
  <c r="D246" i="32" s="1"/>
  <c r="E246" i="32" s="1"/>
  <c r="C245" i="32"/>
  <c r="D245" i="32" s="1"/>
  <c r="E245" i="32" s="1"/>
  <c r="C243" i="32"/>
  <c r="D243" i="32" s="1"/>
  <c r="E243" i="32" s="1"/>
  <c r="C237" i="32"/>
  <c r="D237" i="32" s="1"/>
  <c r="E237" i="32" s="1"/>
  <c r="C234" i="32"/>
  <c r="D234" i="32" s="1"/>
  <c r="E234" i="32" s="1"/>
  <c r="C226" i="32"/>
  <c r="D226" i="32" s="1"/>
  <c r="E226" i="32" s="1"/>
  <c r="C225" i="32"/>
  <c r="D225" i="32" s="1"/>
  <c r="E225" i="32" s="1"/>
  <c r="C224" i="32"/>
  <c r="D224" i="32" s="1"/>
  <c r="E224" i="32" s="1"/>
  <c r="C223" i="32"/>
  <c r="D223" i="32" s="1"/>
  <c r="E223" i="32" s="1"/>
  <c r="C222" i="32"/>
  <c r="D222" i="32" s="1"/>
  <c r="E222" i="32" s="1"/>
  <c r="C221" i="32"/>
  <c r="D221" i="32" s="1"/>
  <c r="E221" i="32" s="1"/>
  <c r="C220" i="32"/>
  <c r="D220" i="32" s="1"/>
  <c r="E220" i="32" s="1"/>
  <c r="C219" i="32"/>
  <c r="D219" i="32" s="1"/>
  <c r="E219" i="32" s="1"/>
  <c r="C216" i="32"/>
  <c r="D216" i="32" s="1"/>
  <c r="E216" i="32" s="1"/>
  <c r="C215" i="32"/>
  <c r="D215" i="32" s="1"/>
  <c r="E215" i="32" s="1"/>
  <c r="C213" i="32"/>
  <c r="D213" i="32" s="1"/>
  <c r="E213" i="32" s="1"/>
  <c r="D210" i="32"/>
  <c r="E210" i="32" s="1"/>
  <c r="D209" i="32"/>
  <c r="E209" i="32" s="1"/>
  <c r="C203" i="32"/>
  <c r="D203" i="32" s="1"/>
  <c r="E203" i="32" s="1"/>
  <c r="C202" i="32"/>
  <c r="D202" i="32" s="1"/>
  <c r="E202" i="32" s="1"/>
  <c r="C201" i="32"/>
  <c r="D201" i="32" s="1"/>
  <c r="E201" i="32" s="1"/>
  <c r="C198" i="32"/>
  <c r="D198" i="32" s="1"/>
  <c r="E198" i="32" s="1"/>
  <c r="C197" i="32"/>
  <c r="D197" i="32" s="1"/>
  <c r="E197" i="32" s="1"/>
  <c r="C196" i="32"/>
  <c r="D196" i="32" s="1"/>
  <c r="E196" i="32" s="1"/>
  <c r="C194" i="32"/>
  <c r="D194" i="32" s="1"/>
  <c r="E194" i="32" s="1"/>
  <c r="C192" i="32"/>
  <c r="D192" i="32" s="1"/>
  <c r="E192" i="32" s="1"/>
  <c r="C184" i="32"/>
  <c r="D184" i="32" s="1"/>
  <c r="E184" i="32" s="1"/>
  <c r="C181" i="32"/>
  <c r="D181" i="32" s="1"/>
  <c r="E181" i="32" s="1"/>
  <c r="C180" i="32"/>
  <c r="D180" i="32" s="1"/>
  <c r="E180" i="32" s="1"/>
  <c r="C179" i="32"/>
  <c r="D179" i="32" s="1"/>
  <c r="E179" i="32" s="1"/>
  <c r="C177" i="32"/>
  <c r="D177" i="32" s="1"/>
  <c r="E177" i="32" s="1"/>
  <c r="D174" i="32"/>
  <c r="E174" i="32" s="1"/>
  <c r="C168" i="32"/>
  <c r="D168" i="32" s="1"/>
  <c r="E168" i="32" s="1"/>
  <c r="C167" i="32"/>
  <c r="D167" i="32" s="1"/>
  <c r="E167" i="32" s="1"/>
  <c r="C166" i="32"/>
  <c r="D166" i="32" s="1"/>
  <c r="E166" i="32" s="1"/>
  <c r="C165" i="32"/>
  <c r="D165" i="32" s="1"/>
  <c r="E165" i="32" s="1"/>
  <c r="C164" i="32"/>
  <c r="D164" i="32" s="1"/>
  <c r="E164" i="32" s="1"/>
  <c r="C163" i="32"/>
  <c r="D163" i="32" s="1"/>
  <c r="E163" i="32" s="1"/>
  <c r="C162" i="32"/>
  <c r="D162" i="32" s="1"/>
  <c r="E162" i="32" s="1"/>
  <c r="C161" i="32"/>
  <c r="D161" i="32" s="1"/>
  <c r="E161" i="32" s="1"/>
  <c r="C160" i="32"/>
  <c r="D160" i="32" s="1"/>
  <c r="E160" i="32" s="1"/>
  <c r="C157" i="32"/>
  <c r="D157" i="32" s="1"/>
  <c r="E157" i="32" s="1"/>
  <c r="C155" i="32"/>
  <c r="D155" i="32" s="1"/>
  <c r="E155" i="32" s="1"/>
  <c r="C147" i="32"/>
  <c r="D147" i="32" s="1"/>
  <c r="E147" i="32" s="1"/>
  <c r="C146" i="32"/>
  <c r="D146" i="32" s="1"/>
  <c r="E146" i="32" s="1"/>
  <c r="C143" i="32"/>
  <c r="D143" i="32" s="1"/>
  <c r="E143" i="32" s="1"/>
  <c r="C142" i="32"/>
  <c r="D142" i="32" s="1"/>
  <c r="E142" i="32" s="1"/>
  <c r="C140" i="32"/>
  <c r="D140" i="32" s="1"/>
  <c r="E140" i="32" s="1"/>
  <c r="D137" i="32"/>
  <c r="E137" i="32" s="1"/>
  <c r="C131" i="32"/>
  <c r="D131" i="32" s="1"/>
  <c r="E131" i="32" s="1"/>
  <c r="C130" i="32"/>
  <c r="D130" i="32" s="1"/>
  <c r="E130" i="32" s="1"/>
  <c r="C128" i="32"/>
  <c r="D128" i="32" s="1"/>
  <c r="E128" i="32" s="1"/>
  <c r="C120" i="32"/>
  <c r="D120" i="32" s="1"/>
  <c r="E120" i="32" s="1"/>
  <c r="C119" i="32"/>
  <c r="D119" i="32" s="1"/>
  <c r="E119" i="32" s="1"/>
  <c r="C118" i="32"/>
  <c r="D118" i="32" s="1"/>
  <c r="E118" i="32" s="1"/>
  <c r="C116" i="32"/>
  <c r="D116" i="32" s="1"/>
  <c r="E116" i="32" s="1"/>
  <c r="C115" i="32"/>
  <c r="D115" i="32" s="1"/>
  <c r="E115" i="32" s="1"/>
  <c r="C114" i="32"/>
  <c r="D114" i="32" s="1"/>
  <c r="E114" i="32" s="1"/>
  <c r="C113" i="32"/>
  <c r="D113" i="32" s="1"/>
  <c r="E113" i="32" s="1"/>
  <c r="C111" i="32"/>
  <c r="D111" i="32" s="1"/>
  <c r="E111" i="32" s="1"/>
  <c r="D108" i="32"/>
  <c r="E108" i="32" s="1"/>
  <c r="D107" i="32"/>
  <c r="E107" i="32" s="1"/>
  <c r="C100" i="32"/>
  <c r="D100" i="32" s="1"/>
  <c r="E100" i="32" s="1"/>
  <c r="C99" i="32"/>
  <c r="D99" i="32" s="1"/>
  <c r="E99" i="32" s="1"/>
  <c r="C98" i="32"/>
  <c r="D98" i="32" s="1"/>
  <c r="E98" i="32" s="1"/>
  <c r="C97" i="32"/>
  <c r="D97" i="32" s="1"/>
  <c r="E97" i="32" s="1"/>
  <c r="C96" i="32"/>
  <c r="D96" i="32" s="1"/>
  <c r="E96" i="32" s="1"/>
  <c r="C95" i="32"/>
  <c r="D95" i="32" s="1"/>
  <c r="E95" i="32" s="1"/>
  <c r="C93" i="32"/>
  <c r="D93" i="32" s="1"/>
  <c r="E93" i="32" s="1"/>
  <c r="C92" i="32"/>
  <c r="D92" i="32" s="1"/>
  <c r="E92" i="32" s="1"/>
  <c r="C91" i="32"/>
  <c r="D91" i="32" s="1"/>
  <c r="E91" i="32" s="1"/>
  <c r="C90" i="32"/>
  <c r="D90" i="32" s="1"/>
  <c r="E90" i="32" s="1"/>
  <c r="C89" i="32"/>
  <c r="D89" i="32" s="1"/>
  <c r="E89" i="32" s="1"/>
  <c r="C88" i="32"/>
  <c r="D88" i="32" s="1"/>
  <c r="E88" i="32" s="1"/>
  <c r="C87" i="32"/>
  <c r="D87" i="32" s="1"/>
  <c r="E87" i="32" s="1"/>
  <c r="C86" i="32"/>
  <c r="D86" i="32" s="1"/>
  <c r="E86" i="32" s="1"/>
  <c r="C85" i="32"/>
  <c r="D85" i="32" s="1"/>
  <c r="E85" i="32" s="1"/>
  <c r="C84" i="32"/>
  <c r="D84" i="32" s="1"/>
  <c r="E84" i="32" s="1"/>
  <c r="C83" i="32"/>
  <c r="D83" i="32" s="1"/>
  <c r="E83" i="32" s="1"/>
  <c r="C82" i="32"/>
  <c r="D82" i="32" s="1"/>
  <c r="E82" i="32" s="1"/>
  <c r="C79" i="32"/>
  <c r="D79" i="32" s="1"/>
  <c r="E79" i="32" s="1"/>
  <c r="C78" i="32"/>
  <c r="D78" i="32" s="1"/>
  <c r="E78" i="32" s="1"/>
  <c r="C77" i="32"/>
  <c r="D77" i="32" s="1"/>
  <c r="E77" i="32" s="1"/>
  <c r="C75" i="32"/>
  <c r="D75" i="32" s="1"/>
  <c r="E75" i="32" s="1"/>
  <c r="D72" i="32"/>
  <c r="E72" i="32" s="1"/>
  <c r="D71" i="32"/>
  <c r="E71" i="32" s="1"/>
  <c r="D70" i="32"/>
  <c r="E70" i="32" s="1"/>
  <c r="D69" i="32"/>
  <c r="E69" i="32" s="1"/>
  <c r="C60" i="32"/>
  <c r="D60" i="32" s="1"/>
  <c r="E60" i="32" s="1"/>
  <c r="C59" i="32"/>
  <c r="D59" i="32" s="1"/>
  <c r="E59" i="32" s="1"/>
  <c r="C58" i="32"/>
  <c r="D58" i="32" s="1"/>
  <c r="E58" i="32" s="1"/>
  <c r="C57" i="32"/>
  <c r="D57" i="32" s="1"/>
  <c r="E57" i="32" s="1"/>
  <c r="C56" i="32"/>
  <c r="D56" i="32" s="1"/>
  <c r="E56" i="32" s="1"/>
  <c r="C55" i="32"/>
  <c r="D55" i="32" s="1"/>
  <c r="E55" i="32" s="1"/>
  <c r="C52" i="32"/>
  <c r="D52" i="32" s="1"/>
  <c r="E52" i="32" s="1"/>
  <c r="C51" i="32"/>
  <c r="D51" i="32" s="1"/>
  <c r="E51" i="32" s="1"/>
  <c r="C50" i="32"/>
  <c r="D50" i="32" s="1"/>
  <c r="E50" i="32" s="1"/>
  <c r="C49" i="32"/>
  <c r="D49" i="32" s="1"/>
  <c r="E49" i="32" s="1"/>
  <c r="C48" i="32"/>
  <c r="D48" i="32" s="1"/>
  <c r="E48" i="32" s="1"/>
  <c r="C47" i="32"/>
  <c r="D47" i="32" s="1"/>
  <c r="E47" i="32" s="1"/>
  <c r="C46" i="32"/>
  <c r="D46" i="32" s="1"/>
  <c r="E46" i="32" s="1"/>
  <c r="C45" i="32"/>
  <c r="D45" i="32" s="1"/>
  <c r="E45" i="32" s="1"/>
  <c r="C44" i="32"/>
  <c r="D44" i="32" s="1"/>
  <c r="E44" i="32" s="1"/>
  <c r="C43" i="32"/>
  <c r="D43" i="32" s="1"/>
  <c r="E43" i="32" s="1"/>
  <c r="C42" i="32"/>
  <c r="D42" i="32" s="1"/>
  <c r="E42" i="32" s="1"/>
  <c r="C41" i="32"/>
  <c r="D41" i="32" s="1"/>
  <c r="E41" i="32" s="1"/>
  <c r="C39" i="32"/>
  <c r="D39" i="32" s="1"/>
  <c r="E39" i="32" s="1"/>
  <c r="C38" i="32"/>
  <c r="D38" i="32" s="1"/>
  <c r="E38" i="32" s="1"/>
  <c r="C37" i="32"/>
  <c r="D37" i="32" s="1"/>
  <c r="E37" i="32" s="1"/>
  <c r="C36" i="32"/>
  <c r="D36" i="32" s="1"/>
  <c r="E36" i="32" s="1"/>
  <c r="C35" i="32"/>
  <c r="D35" i="32" s="1"/>
  <c r="E35" i="32" s="1"/>
  <c r="C33" i="32"/>
  <c r="D33" i="32" s="1"/>
  <c r="E33" i="32" s="1"/>
  <c r="C25" i="32"/>
  <c r="D25" i="32" s="1"/>
  <c r="E25" i="32" s="1"/>
  <c r="C24" i="32"/>
  <c r="D24" i="32" s="1"/>
  <c r="E24" i="32" s="1"/>
  <c r="C21" i="32"/>
  <c r="D21" i="32" s="1"/>
  <c r="E21" i="32" s="1"/>
  <c r="C19" i="32"/>
  <c r="D19" i="32" s="1"/>
  <c r="E19" i="32" s="1"/>
  <c r="C12" i="32"/>
  <c r="D12" i="32" s="1"/>
  <c r="E12" i="32" s="1"/>
  <c r="C9" i="32"/>
  <c r="D9" i="32" s="1"/>
  <c r="E9" i="32" s="1"/>
  <c r="AJ127" i="31"/>
  <c r="AJ126" i="31"/>
  <c r="AJ125" i="31"/>
  <c r="AJ124" i="31"/>
  <c r="AJ123" i="31"/>
  <c r="AJ117" i="31"/>
  <c r="AJ116" i="31"/>
  <c r="AJ115" i="31"/>
  <c r="AJ114" i="31"/>
  <c r="AJ103" i="31"/>
  <c r="AJ102" i="31"/>
  <c r="AJ95" i="31"/>
  <c r="AJ94" i="31"/>
  <c r="AJ93" i="31"/>
  <c r="AJ89" i="31"/>
  <c r="AJ88" i="31"/>
  <c r="AJ87" i="31"/>
  <c r="AJ81" i="31"/>
  <c r="AJ80" i="31"/>
  <c r="AJ79" i="31"/>
  <c r="AJ78" i="31"/>
  <c r="AJ77" i="31"/>
  <c r="AJ76" i="31"/>
  <c r="AJ75" i="31"/>
  <c r="AJ74" i="31"/>
  <c r="AJ47" i="31"/>
  <c r="AJ46" i="31"/>
  <c r="AJ45" i="31"/>
  <c r="AJ44" i="31"/>
  <c r="AJ34" i="31"/>
  <c r="AJ33" i="31"/>
  <c r="AJ32" i="31"/>
  <c r="AJ31" i="31"/>
  <c r="AJ30" i="31"/>
  <c r="AJ29" i="31"/>
  <c r="AJ28" i="31"/>
  <c r="AJ27" i="31"/>
  <c r="AJ26" i="31"/>
  <c r="AJ24" i="31"/>
  <c r="AJ23" i="31"/>
  <c r="AJ22" i="31"/>
  <c r="AJ21" i="31"/>
  <c r="AJ20" i="31"/>
  <c r="AJ19" i="31"/>
  <c r="AJ18" i="31"/>
  <c r="AJ17" i="31"/>
  <c r="AJ12" i="31"/>
  <c r="AJ11" i="31"/>
  <c r="AJ5" i="31"/>
  <c r="E292" i="32" l="1"/>
  <c r="E295" i="32"/>
  <c r="E299" i="32"/>
  <c r="E301" i="32"/>
  <c r="E303" i="32"/>
  <c r="E294" i="32"/>
  <c r="E298" i="32"/>
  <c r="E300" i="32"/>
  <c r="E302" i="32"/>
  <c r="D274" i="32"/>
  <c r="E274" i="32" s="1"/>
  <c r="D228" i="32"/>
  <c r="E228" i="32" s="1"/>
  <c r="D62" i="32"/>
  <c r="E62" i="32" s="1"/>
  <c r="D101" i="32"/>
  <c r="E101" i="32" s="1"/>
  <c r="D122" i="32"/>
  <c r="E122" i="32" s="1"/>
  <c r="D149" i="32"/>
  <c r="E149" i="32" s="1"/>
  <c r="D186" i="32"/>
  <c r="E186" i="32" s="1"/>
  <c r="D27" i="32"/>
  <c r="E27" i="32" s="1"/>
  <c r="D305" i="32"/>
  <c r="E305" i="32" s="1"/>
  <c r="D133" i="32"/>
  <c r="E133" i="32" s="1"/>
  <c r="D170" i="32"/>
  <c r="E170" i="32" s="1"/>
  <c r="D205" i="32"/>
  <c r="E205" i="32" s="1"/>
  <c r="D239" i="32"/>
  <c r="E239" i="32" s="1"/>
  <c r="D263" i="32"/>
  <c r="E263" i="32" s="1"/>
  <c r="D283" i="32"/>
  <c r="E283" i="32" s="1"/>
  <c r="D322" i="32"/>
  <c r="E322" i="32" s="1"/>
  <c r="D15" i="32" l="1"/>
  <c r="E15" i="32" s="1"/>
  <c r="C21" i="48" l="1"/>
  <c r="C17" i="48"/>
  <c r="C18" i="48"/>
  <c r="C16" i="48"/>
  <c r="C14" i="48"/>
  <c r="C12" i="48"/>
  <c r="C28" i="17"/>
  <c r="C27" i="17"/>
  <c r="C26" i="17"/>
  <c r="C25" i="17"/>
  <c r="C24" i="17"/>
  <c r="C23" i="17"/>
  <c r="C20" i="17"/>
  <c r="C19" i="17"/>
  <c r="C17" i="17"/>
  <c r="AH201" i="31" l="1"/>
  <c r="AH200" i="31"/>
  <c r="AH199" i="31"/>
  <c r="AH198" i="31"/>
  <c r="AH197" i="31"/>
  <c r="AH185" i="31"/>
  <c r="AH184" i="31"/>
  <c r="AH183" i="31"/>
  <c r="AH178" i="31"/>
  <c r="AH173" i="31"/>
  <c r="AH172" i="31"/>
  <c r="AH160" i="31"/>
  <c r="AH159" i="31"/>
  <c r="AH158" i="31"/>
  <c r="AH157" i="31"/>
  <c r="AH155" i="31"/>
  <c r="AH154" i="31"/>
  <c r="AH156" i="31"/>
  <c r="AH153" i="31"/>
  <c r="AH150" i="31"/>
  <c r="AH135" i="31"/>
  <c r="AH136" i="31"/>
  <c r="AH134" i="31"/>
  <c r="AH127" i="31"/>
  <c r="AH126" i="31"/>
  <c r="AH125" i="31"/>
  <c r="AH124" i="31"/>
  <c r="AH123" i="31"/>
  <c r="AH117" i="31"/>
  <c r="AH116" i="31"/>
  <c r="AH115" i="31"/>
  <c r="AH114" i="31"/>
  <c r="AH103" i="31"/>
  <c r="AH102" i="31"/>
  <c r="AH95" i="31"/>
  <c r="AH94" i="31"/>
  <c r="AH93" i="31"/>
  <c r="AH89" i="31"/>
  <c r="AH88" i="31"/>
  <c r="AH87" i="31"/>
  <c r="AH81" i="31"/>
  <c r="AH80" i="31"/>
  <c r="AH79" i="31"/>
  <c r="AH78" i="31"/>
  <c r="AH77" i="31"/>
  <c r="AH76" i="31"/>
  <c r="AH75" i="31"/>
  <c r="AH74" i="31"/>
  <c r="AH47" i="31"/>
  <c r="AH46" i="31"/>
  <c r="AH45" i="31"/>
  <c r="AH44" i="31"/>
  <c r="AH34" i="31"/>
  <c r="AH33" i="31"/>
  <c r="AH32" i="31"/>
  <c r="AH31" i="31"/>
  <c r="AH30" i="31"/>
  <c r="AH29" i="31"/>
  <c r="AH28" i="31"/>
  <c r="AH27" i="31"/>
  <c r="AH26" i="31"/>
  <c r="AH24" i="31"/>
  <c r="AH23" i="31"/>
  <c r="AH22" i="31"/>
  <c r="AH21" i="31"/>
  <c r="AH20" i="31"/>
  <c r="AH19" i="31"/>
  <c r="AH18" i="31"/>
  <c r="AH17" i="31"/>
  <c r="AH12" i="31"/>
  <c r="AH11" i="31"/>
  <c r="AH5" i="31"/>
  <c r="AF201" i="31"/>
  <c r="AF200" i="31"/>
  <c r="AF199" i="31"/>
  <c r="AF198" i="31"/>
  <c r="AF197" i="31"/>
  <c r="AF185" i="31"/>
  <c r="AF184" i="31"/>
  <c r="AF183" i="31"/>
  <c r="AF178" i="31"/>
  <c r="AF173" i="31"/>
  <c r="AF172" i="31"/>
  <c r="AF156" i="31"/>
  <c r="AF154" i="31"/>
  <c r="AF155" i="31"/>
  <c r="AF157" i="31"/>
  <c r="AF158" i="31"/>
  <c r="AF159" i="31"/>
  <c r="AF160" i="31"/>
  <c r="AF153" i="31"/>
  <c r="AF150" i="31"/>
  <c r="AF135" i="31"/>
  <c r="AF136" i="31"/>
  <c r="AF134" i="31"/>
  <c r="AF127" i="31"/>
  <c r="AF126" i="31"/>
  <c r="AF125" i="31"/>
  <c r="AF124" i="31"/>
  <c r="AF123" i="31"/>
  <c r="AF115" i="31"/>
  <c r="AF116" i="31"/>
  <c r="AF117" i="31"/>
  <c r="AF114" i="31"/>
  <c r="AF103" i="31"/>
  <c r="AF102" i="31"/>
  <c r="AF95" i="31"/>
  <c r="AF94" i="31"/>
  <c r="AF93" i="31"/>
  <c r="AF89" i="31"/>
  <c r="AF88" i="31"/>
  <c r="AF87" i="31"/>
  <c r="AF81" i="31"/>
  <c r="AF80" i="31"/>
  <c r="AF79" i="31"/>
  <c r="AF78" i="31"/>
  <c r="AF77" i="31"/>
  <c r="AF76" i="31"/>
  <c r="AF75" i="31"/>
  <c r="AF74" i="31"/>
  <c r="AF45" i="31"/>
  <c r="AF46" i="31"/>
  <c r="AF47" i="31"/>
  <c r="AF44" i="31"/>
  <c r="AF18" i="31"/>
  <c r="AF19" i="31"/>
  <c r="AF20" i="31"/>
  <c r="AF21" i="31"/>
  <c r="AF22" i="31"/>
  <c r="AF23" i="31"/>
  <c r="AF24" i="31"/>
  <c r="AF26" i="31"/>
  <c r="AF27" i="31"/>
  <c r="AF28" i="31"/>
  <c r="AF29" i="31"/>
  <c r="AF30" i="31"/>
  <c r="AF31" i="31"/>
  <c r="AF32" i="31"/>
  <c r="AF33" i="31"/>
  <c r="AF34" i="31"/>
  <c r="AF17" i="31"/>
  <c r="AF12" i="31"/>
  <c r="AF11" i="31"/>
  <c r="AF5" i="31"/>
  <c r="AD201" i="31"/>
  <c r="AB201" i="31"/>
  <c r="Z201" i="31"/>
  <c r="X201" i="31"/>
  <c r="AD200" i="31"/>
  <c r="AB200" i="31"/>
  <c r="Z200" i="31"/>
  <c r="X200" i="31"/>
  <c r="AD199" i="31"/>
  <c r="AB199" i="31"/>
  <c r="Z199" i="31"/>
  <c r="X199" i="31"/>
  <c r="AD198" i="31"/>
  <c r="AB198" i="31"/>
  <c r="Z198" i="31"/>
  <c r="X198" i="31"/>
  <c r="AD197" i="31"/>
  <c r="AB197" i="31"/>
  <c r="Z197" i="31"/>
  <c r="X197" i="31"/>
  <c r="AD185" i="31"/>
  <c r="AB185" i="31"/>
  <c r="Z185" i="31"/>
  <c r="X185" i="31"/>
  <c r="AD184" i="31"/>
  <c r="AB184" i="31"/>
  <c r="Z184" i="31"/>
  <c r="X184" i="31"/>
  <c r="AD183" i="31"/>
  <c r="AB183" i="31"/>
  <c r="Z183" i="31"/>
  <c r="X183" i="31"/>
  <c r="AD178" i="31"/>
  <c r="AB178" i="31"/>
  <c r="Z178" i="31"/>
  <c r="X178" i="31"/>
  <c r="AD173" i="31"/>
  <c r="AB173" i="31"/>
  <c r="Z173" i="31"/>
  <c r="X173" i="31"/>
  <c r="AD172" i="31"/>
  <c r="AB172" i="31"/>
  <c r="Z172" i="31"/>
  <c r="X172" i="31"/>
  <c r="AD160" i="31"/>
  <c r="AB160" i="31"/>
  <c r="Z160" i="31"/>
  <c r="X160" i="31"/>
  <c r="AD159" i="31"/>
  <c r="AB159" i="31"/>
  <c r="Z159" i="31"/>
  <c r="X159" i="31"/>
  <c r="AD158" i="31"/>
  <c r="AB158" i="31"/>
  <c r="Z158" i="31"/>
  <c r="X158" i="31"/>
  <c r="AD157" i="31"/>
  <c r="AB157" i="31"/>
  <c r="Z157" i="31"/>
  <c r="X157" i="31"/>
  <c r="AD155" i="31"/>
  <c r="AB155" i="31"/>
  <c r="Z155" i="31"/>
  <c r="X155" i="31"/>
  <c r="AD154" i="31"/>
  <c r="AB154" i="31"/>
  <c r="Z154" i="31"/>
  <c r="X154" i="31"/>
  <c r="AD156" i="31"/>
  <c r="AB156" i="31"/>
  <c r="Z156" i="31"/>
  <c r="X156" i="31"/>
  <c r="AD153" i="31"/>
  <c r="AB153" i="31"/>
  <c r="Z153" i="31"/>
  <c r="X153" i="31"/>
  <c r="AD150" i="31"/>
  <c r="AB150" i="31"/>
  <c r="Z150" i="31"/>
  <c r="X150" i="31"/>
  <c r="AD135" i="31"/>
  <c r="AB135" i="31"/>
  <c r="Z135" i="31"/>
  <c r="X135" i="31"/>
  <c r="AD136" i="31"/>
  <c r="AB136" i="31"/>
  <c r="Z136" i="31"/>
  <c r="X136" i="31"/>
  <c r="AD134" i="31"/>
  <c r="AB134" i="31"/>
  <c r="Z134" i="31"/>
  <c r="X134" i="31"/>
  <c r="AD127" i="31"/>
  <c r="AB127" i="31"/>
  <c r="Z127" i="31"/>
  <c r="X127" i="31"/>
  <c r="AD126" i="31"/>
  <c r="AB126" i="31"/>
  <c r="Z126" i="31"/>
  <c r="X126" i="31"/>
  <c r="AD125" i="31"/>
  <c r="AB125" i="31"/>
  <c r="Z125" i="31"/>
  <c r="X125" i="31"/>
  <c r="AD124" i="31"/>
  <c r="AB124" i="31"/>
  <c r="Z124" i="31"/>
  <c r="X124" i="31"/>
  <c r="AD123" i="31"/>
  <c r="AB123" i="31"/>
  <c r="Z123" i="31"/>
  <c r="X123" i="31"/>
  <c r="AD117" i="31"/>
  <c r="AB117" i="31"/>
  <c r="Z117" i="31"/>
  <c r="X117" i="31"/>
  <c r="AD116" i="31"/>
  <c r="AB116" i="31"/>
  <c r="Z116" i="31"/>
  <c r="X116" i="31"/>
  <c r="AD115" i="31"/>
  <c r="AB115" i="31"/>
  <c r="Z115" i="31"/>
  <c r="X115" i="31"/>
  <c r="AD114" i="31"/>
  <c r="AB114" i="31"/>
  <c r="Z114" i="31"/>
  <c r="X114" i="31"/>
  <c r="AD103" i="31"/>
  <c r="AB103" i="31"/>
  <c r="Z103" i="31"/>
  <c r="X103" i="31"/>
  <c r="AD102" i="31"/>
  <c r="AB102" i="31"/>
  <c r="Z102" i="31"/>
  <c r="X102" i="31"/>
  <c r="AD95" i="31"/>
  <c r="AB95" i="31"/>
  <c r="Z95" i="31"/>
  <c r="X95" i="31"/>
  <c r="AD94" i="31"/>
  <c r="AB94" i="31"/>
  <c r="Z94" i="31"/>
  <c r="X94" i="31"/>
  <c r="AD93" i="31"/>
  <c r="AB93" i="31"/>
  <c r="Z93" i="31"/>
  <c r="X93" i="31"/>
  <c r="AD89" i="31"/>
  <c r="AB89" i="31"/>
  <c r="Z89" i="31"/>
  <c r="X89" i="31"/>
  <c r="AD88" i="31"/>
  <c r="AB88" i="31"/>
  <c r="Z88" i="31"/>
  <c r="X88" i="31"/>
  <c r="AD87" i="31"/>
  <c r="AB87" i="31"/>
  <c r="Z87" i="31"/>
  <c r="X87" i="31"/>
  <c r="AD81" i="31"/>
  <c r="AB81" i="31"/>
  <c r="Z81" i="31"/>
  <c r="X81" i="31"/>
  <c r="AD80" i="31"/>
  <c r="AB80" i="31"/>
  <c r="Z80" i="31"/>
  <c r="X80" i="31"/>
  <c r="AD79" i="31"/>
  <c r="AB79" i="31"/>
  <c r="Z79" i="31"/>
  <c r="X79" i="31"/>
  <c r="AD78" i="31"/>
  <c r="AB78" i="31"/>
  <c r="Z78" i="31"/>
  <c r="X78" i="31"/>
  <c r="AD77" i="31"/>
  <c r="AB77" i="31"/>
  <c r="Z77" i="31"/>
  <c r="X77" i="31"/>
  <c r="AD76" i="31"/>
  <c r="AB76" i="31"/>
  <c r="Z76" i="31"/>
  <c r="X76" i="31"/>
  <c r="AD75" i="31"/>
  <c r="AB75" i="31"/>
  <c r="Z75" i="31"/>
  <c r="X75" i="31"/>
  <c r="AD74" i="31"/>
  <c r="AB74" i="31"/>
  <c r="Z74" i="31"/>
  <c r="X74" i="31"/>
  <c r="AD47" i="31"/>
  <c r="AB47" i="31"/>
  <c r="Z47" i="31"/>
  <c r="X47" i="31"/>
  <c r="AD46" i="31"/>
  <c r="AB46" i="31"/>
  <c r="Z46" i="31"/>
  <c r="X46" i="31"/>
  <c r="AD45" i="31"/>
  <c r="AB45" i="31"/>
  <c r="Z45" i="31"/>
  <c r="X45" i="31"/>
  <c r="AD44" i="31"/>
  <c r="AB44" i="31"/>
  <c r="Z44" i="31"/>
  <c r="X44" i="31"/>
  <c r="AD34" i="31"/>
  <c r="AB34" i="31"/>
  <c r="Z34" i="31"/>
  <c r="X34" i="31"/>
  <c r="AD33" i="31"/>
  <c r="AB33" i="31"/>
  <c r="Z33" i="31"/>
  <c r="X33" i="31"/>
  <c r="AD32" i="31"/>
  <c r="AB32" i="31"/>
  <c r="Z32" i="31"/>
  <c r="X32" i="31"/>
  <c r="AD31" i="31"/>
  <c r="AB31" i="31"/>
  <c r="Z31" i="31"/>
  <c r="X31" i="31"/>
  <c r="AD30" i="31"/>
  <c r="AB30" i="31"/>
  <c r="Z30" i="31"/>
  <c r="X30" i="31"/>
  <c r="AD29" i="31"/>
  <c r="AB29" i="31"/>
  <c r="Z29" i="31"/>
  <c r="X29" i="31"/>
  <c r="AD28" i="31"/>
  <c r="AB28" i="31"/>
  <c r="Z28" i="31"/>
  <c r="X28" i="31"/>
  <c r="AD27" i="31"/>
  <c r="AB27" i="31"/>
  <c r="Z27" i="31"/>
  <c r="X27" i="31"/>
  <c r="AD26" i="31"/>
  <c r="AB26" i="31"/>
  <c r="Z26" i="31"/>
  <c r="X26" i="31"/>
  <c r="AD24" i="31"/>
  <c r="AB24" i="31"/>
  <c r="Z24" i="31"/>
  <c r="X24" i="31"/>
  <c r="AD23" i="31"/>
  <c r="AB23" i="31"/>
  <c r="Z23" i="31"/>
  <c r="X23" i="31"/>
  <c r="AD22" i="31"/>
  <c r="AB22" i="31"/>
  <c r="Z22" i="31"/>
  <c r="X22" i="31"/>
  <c r="AD21" i="31"/>
  <c r="AB21" i="31"/>
  <c r="Z21" i="31"/>
  <c r="X21" i="31"/>
  <c r="AD20" i="31"/>
  <c r="AB20" i="31"/>
  <c r="Z20" i="31"/>
  <c r="X20" i="31"/>
  <c r="AD19" i="31"/>
  <c r="AB19" i="31"/>
  <c r="Z19" i="31"/>
  <c r="X19" i="31"/>
  <c r="AD18" i="31"/>
  <c r="AB18" i="31"/>
  <c r="Z18" i="31"/>
  <c r="X18" i="31"/>
  <c r="AD17" i="31"/>
  <c r="AB17" i="31"/>
  <c r="Z17" i="31"/>
  <c r="X17" i="31"/>
  <c r="AD12" i="31"/>
  <c r="AB12" i="31"/>
  <c r="Z12" i="31"/>
  <c r="X12" i="31"/>
  <c r="AD11" i="31"/>
  <c r="AB11" i="31"/>
  <c r="Z11" i="31"/>
  <c r="X11" i="31"/>
  <c r="AD5" i="31"/>
  <c r="AB5" i="31"/>
  <c r="Z5" i="31"/>
  <c r="X5" i="31"/>
  <c r="V201" i="31"/>
  <c r="V200" i="31"/>
  <c r="V199" i="31"/>
  <c r="V198" i="31"/>
  <c r="V197" i="31"/>
  <c r="V185" i="31"/>
  <c r="V184" i="31"/>
  <c r="V183" i="31"/>
  <c r="V178" i="31"/>
  <c r="V173" i="31"/>
  <c r="V172" i="31"/>
  <c r="V160" i="31"/>
  <c r="V159" i="31"/>
  <c r="V158" i="31"/>
  <c r="V157" i="31"/>
  <c r="V155" i="31"/>
  <c r="V154" i="31"/>
  <c r="V156" i="31"/>
  <c r="V153" i="31"/>
  <c r="V150" i="31"/>
  <c r="V135" i="31"/>
  <c r="V136" i="31"/>
  <c r="V134" i="31"/>
  <c r="V127" i="31"/>
  <c r="V126" i="31"/>
  <c r="V125" i="31"/>
  <c r="V124" i="31"/>
  <c r="V123" i="31"/>
  <c r="V117" i="31"/>
  <c r="V116" i="31"/>
  <c r="V115" i="31"/>
  <c r="V114" i="31"/>
  <c r="V103" i="31"/>
  <c r="V102" i="31"/>
  <c r="V95" i="31"/>
  <c r="V94" i="31"/>
  <c r="V93" i="31"/>
  <c r="V89" i="31"/>
  <c r="V88" i="31"/>
  <c r="V87" i="31"/>
  <c r="V81" i="31"/>
  <c r="V80" i="31"/>
  <c r="V79" i="31"/>
  <c r="V78" i="31"/>
  <c r="V77" i="31"/>
  <c r="V76" i="31"/>
  <c r="V75" i="31"/>
  <c r="V74" i="31"/>
  <c r="V47" i="31"/>
  <c r="V46" i="31"/>
  <c r="V45" i="31"/>
  <c r="V44" i="31"/>
  <c r="V34" i="31"/>
  <c r="V33" i="31"/>
  <c r="V32" i="31"/>
  <c r="V31" i="31"/>
  <c r="V30" i="31"/>
  <c r="V29" i="31"/>
  <c r="V28" i="31"/>
  <c r="V27" i="31"/>
  <c r="V26" i="31"/>
  <c r="V24" i="31"/>
  <c r="V23" i="31"/>
  <c r="V22" i="31"/>
  <c r="V21" i="31"/>
  <c r="V20" i="31"/>
  <c r="V19" i="31"/>
  <c r="V18" i="31"/>
  <c r="V17" i="31"/>
  <c r="V12" i="31"/>
  <c r="V11" i="31"/>
  <c r="V5" i="31"/>
  <c r="E3" i="48"/>
  <c r="O4" i="48"/>
  <c r="D18" i="48"/>
  <c r="D19" i="48"/>
  <c r="D15" i="48"/>
  <c r="F4" i="48"/>
  <c r="P3" i="48"/>
  <c r="N172" i="31"/>
  <c r="T172" i="31"/>
  <c r="R172" i="31"/>
  <c r="P172" i="31"/>
  <c r="N173" i="31"/>
  <c r="T173" i="31"/>
  <c r="R173" i="31"/>
  <c r="P173" i="31"/>
  <c r="N153" i="31"/>
  <c r="T153" i="31"/>
  <c r="R153" i="31"/>
  <c r="P153" i="31"/>
  <c r="N156" i="31"/>
  <c r="T156" i="31"/>
  <c r="R156" i="31"/>
  <c r="P156" i="31"/>
  <c r="N154" i="31"/>
  <c r="T154" i="31"/>
  <c r="R154" i="31"/>
  <c r="P154" i="31"/>
  <c r="N155" i="31"/>
  <c r="T155" i="31"/>
  <c r="R155" i="31"/>
  <c r="P155" i="31"/>
  <c r="N157" i="31"/>
  <c r="T157" i="31"/>
  <c r="R157" i="31"/>
  <c r="P157" i="31"/>
  <c r="N158" i="31"/>
  <c r="T158" i="31"/>
  <c r="R158" i="31"/>
  <c r="P158" i="31"/>
  <c r="N159" i="31"/>
  <c r="T159" i="31"/>
  <c r="R159" i="31"/>
  <c r="P159" i="31"/>
  <c r="N160" i="31"/>
  <c r="T160" i="31"/>
  <c r="R160" i="31"/>
  <c r="P160" i="31"/>
  <c r="N123" i="31"/>
  <c r="T123" i="31"/>
  <c r="R123" i="31"/>
  <c r="P123" i="31"/>
  <c r="N124" i="31"/>
  <c r="T124" i="31"/>
  <c r="R124" i="31"/>
  <c r="P124" i="31"/>
  <c r="N125" i="31"/>
  <c r="T125" i="31"/>
  <c r="R125" i="31"/>
  <c r="P125" i="31"/>
  <c r="N126" i="31"/>
  <c r="T126" i="31"/>
  <c r="R126" i="31"/>
  <c r="P126" i="31"/>
  <c r="N127" i="31"/>
  <c r="T127" i="31"/>
  <c r="R127" i="31"/>
  <c r="P127" i="31"/>
  <c r="N114" i="31"/>
  <c r="T114" i="31"/>
  <c r="R114" i="31"/>
  <c r="P114" i="31"/>
  <c r="N115" i="31"/>
  <c r="T115" i="31"/>
  <c r="R115" i="31"/>
  <c r="P115" i="31"/>
  <c r="N116" i="31"/>
  <c r="T116" i="31"/>
  <c r="R116" i="31"/>
  <c r="P116" i="31"/>
  <c r="N117" i="31"/>
  <c r="T117" i="31"/>
  <c r="R117" i="31"/>
  <c r="P117" i="31"/>
  <c r="N102" i="31"/>
  <c r="T102" i="31"/>
  <c r="R102" i="31"/>
  <c r="P102" i="31"/>
  <c r="N103" i="31"/>
  <c r="T103" i="31"/>
  <c r="R103" i="31"/>
  <c r="P103" i="31"/>
  <c r="N93" i="31"/>
  <c r="T93" i="31"/>
  <c r="R93" i="31"/>
  <c r="P93" i="31"/>
  <c r="N94" i="31"/>
  <c r="T94" i="31"/>
  <c r="R94" i="31"/>
  <c r="P94" i="31"/>
  <c r="N95" i="31"/>
  <c r="T95" i="31"/>
  <c r="R95" i="31"/>
  <c r="P95" i="31"/>
  <c r="N87" i="31"/>
  <c r="T87" i="31"/>
  <c r="R87" i="31"/>
  <c r="P87" i="31"/>
  <c r="N88" i="31"/>
  <c r="T88" i="31"/>
  <c r="R88" i="31"/>
  <c r="P88" i="31"/>
  <c r="N89" i="31"/>
  <c r="T89" i="31"/>
  <c r="R89" i="31"/>
  <c r="P89" i="31"/>
  <c r="N74" i="31"/>
  <c r="T74" i="31"/>
  <c r="R74" i="31"/>
  <c r="P74" i="31"/>
  <c r="N75" i="31"/>
  <c r="T75" i="31"/>
  <c r="R75" i="31"/>
  <c r="P75" i="31"/>
  <c r="N76" i="31"/>
  <c r="T76" i="31"/>
  <c r="R76" i="31"/>
  <c r="P76" i="31"/>
  <c r="N77" i="31"/>
  <c r="T77" i="31"/>
  <c r="R77" i="31"/>
  <c r="P77" i="31"/>
  <c r="N78" i="31"/>
  <c r="T78" i="31"/>
  <c r="R78" i="31"/>
  <c r="P78" i="31"/>
  <c r="N79" i="31"/>
  <c r="T79" i="31"/>
  <c r="R79" i="31"/>
  <c r="P79" i="31"/>
  <c r="N80" i="31"/>
  <c r="T80" i="31"/>
  <c r="R80" i="31"/>
  <c r="P80" i="31"/>
  <c r="N81" i="31"/>
  <c r="T81" i="31"/>
  <c r="R81" i="31"/>
  <c r="P81" i="31"/>
  <c r="N197" i="31"/>
  <c r="T197" i="31"/>
  <c r="R197" i="31"/>
  <c r="P197" i="31"/>
  <c r="N183" i="31"/>
  <c r="T183" i="31"/>
  <c r="R183" i="31"/>
  <c r="P183" i="31"/>
  <c r="N178" i="31"/>
  <c r="T178" i="31"/>
  <c r="R178" i="31"/>
  <c r="P178" i="31"/>
  <c r="N150" i="31"/>
  <c r="T150" i="31"/>
  <c r="R150" i="31"/>
  <c r="P150" i="31"/>
  <c r="N134" i="31"/>
  <c r="T134" i="31"/>
  <c r="R134" i="31"/>
  <c r="P134" i="31"/>
  <c r="N44" i="31"/>
  <c r="T44" i="31"/>
  <c r="R44" i="31"/>
  <c r="P44" i="31"/>
  <c r="M17" i="31"/>
  <c r="K17" i="31"/>
  <c r="T17" i="31"/>
  <c r="R17" i="31"/>
  <c r="P17" i="31"/>
  <c r="N11" i="31"/>
  <c r="T11" i="31"/>
  <c r="R11" i="31"/>
  <c r="P11" i="31"/>
  <c r="N5" i="31"/>
  <c r="T5" i="31"/>
  <c r="R5" i="31"/>
  <c r="P5" i="31"/>
  <c r="C18" i="18"/>
  <c r="D18" i="18" s="1"/>
  <c r="C21" i="18"/>
  <c r="N198" i="31"/>
  <c r="T198" i="31"/>
  <c r="R198" i="31"/>
  <c r="P198" i="31"/>
  <c r="N199" i="31"/>
  <c r="T199" i="31"/>
  <c r="R199" i="31"/>
  <c r="P199" i="31"/>
  <c r="N200" i="31"/>
  <c r="T200" i="31"/>
  <c r="R200" i="31"/>
  <c r="P200" i="31"/>
  <c r="N201" i="31"/>
  <c r="T201" i="31"/>
  <c r="R201" i="31"/>
  <c r="P201" i="31"/>
  <c r="T185" i="31"/>
  <c r="R185" i="31"/>
  <c r="T184" i="31"/>
  <c r="R184" i="31"/>
  <c r="T135" i="31"/>
  <c r="R135" i="31"/>
  <c r="T136" i="31"/>
  <c r="R136" i="31"/>
  <c r="T45" i="31"/>
  <c r="R45" i="31"/>
  <c r="T46" i="31"/>
  <c r="R46" i="31"/>
  <c r="T47" i="31"/>
  <c r="R47" i="31"/>
  <c r="T18" i="31"/>
  <c r="R18" i="31"/>
  <c r="T19" i="31"/>
  <c r="R19" i="31"/>
  <c r="T20" i="31"/>
  <c r="R20" i="31"/>
  <c r="T21" i="31"/>
  <c r="R21" i="31"/>
  <c r="T22" i="31"/>
  <c r="R22" i="31"/>
  <c r="T23" i="31"/>
  <c r="R23" i="31"/>
  <c r="T24" i="31"/>
  <c r="R24" i="31"/>
  <c r="T26" i="31"/>
  <c r="R26" i="31"/>
  <c r="T27" i="31"/>
  <c r="R27" i="31"/>
  <c r="T28" i="31"/>
  <c r="R28" i="31"/>
  <c r="T29" i="31"/>
  <c r="R29" i="31"/>
  <c r="T30" i="31"/>
  <c r="R30" i="31"/>
  <c r="T31" i="31"/>
  <c r="R31" i="31"/>
  <c r="T32" i="31"/>
  <c r="R32" i="31"/>
  <c r="T33" i="31"/>
  <c r="R33" i="31"/>
  <c r="T34" i="31"/>
  <c r="R34" i="31"/>
  <c r="T12" i="31"/>
  <c r="R12" i="31"/>
  <c r="N185" i="31"/>
  <c r="P185" i="31"/>
  <c r="N184" i="31"/>
  <c r="P184" i="31"/>
  <c r="N135" i="31"/>
  <c r="P135" i="31"/>
  <c r="N136" i="31"/>
  <c r="P136" i="31"/>
  <c r="N47" i="31"/>
  <c r="P47" i="31"/>
  <c r="N46" i="31"/>
  <c r="P46" i="31"/>
  <c r="N45" i="31"/>
  <c r="P45" i="31"/>
  <c r="N34" i="31"/>
  <c r="P34" i="31"/>
  <c r="N33" i="31"/>
  <c r="P33" i="31"/>
  <c r="N32" i="31"/>
  <c r="P32" i="31"/>
  <c r="N31" i="31"/>
  <c r="P31" i="31"/>
  <c r="N30" i="31"/>
  <c r="P30" i="31"/>
  <c r="N29" i="31"/>
  <c r="P29" i="31"/>
  <c r="N28" i="31"/>
  <c r="P28" i="31"/>
  <c r="N27" i="31"/>
  <c r="P27" i="31"/>
  <c r="N26" i="31"/>
  <c r="P26" i="31"/>
  <c r="N24" i="31"/>
  <c r="P24" i="31"/>
  <c r="N23" i="31"/>
  <c r="P23" i="31"/>
  <c r="N22" i="31"/>
  <c r="P22" i="31"/>
  <c r="N21" i="31"/>
  <c r="P21" i="31"/>
  <c r="N20" i="31"/>
  <c r="P20" i="31"/>
  <c r="N19" i="31"/>
  <c r="P19" i="31"/>
  <c r="N18" i="31"/>
  <c r="P18" i="31"/>
  <c r="N12" i="31"/>
  <c r="P12" i="31"/>
  <c r="L197" i="31"/>
  <c r="L198" i="31"/>
  <c r="L199" i="31"/>
  <c r="L200" i="31"/>
  <c r="L201" i="31"/>
  <c r="L89" i="31"/>
  <c r="L87" i="31"/>
  <c r="L88" i="31"/>
  <c r="L5" i="31"/>
  <c r="L11" i="31"/>
  <c r="L12" i="31"/>
  <c r="I17" i="31"/>
  <c r="L17" i="31" s="1"/>
  <c r="L18" i="31"/>
  <c r="L19" i="31"/>
  <c r="L20" i="31"/>
  <c r="L21" i="31"/>
  <c r="L22" i="31"/>
  <c r="L23" i="31"/>
  <c r="L24" i="31"/>
  <c r="L26" i="31"/>
  <c r="L27" i="31"/>
  <c r="L28" i="31"/>
  <c r="L29" i="31"/>
  <c r="L30" i="31"/>
  <c r="L31" i="31"/>
  <c r="L32" i="31"/>
  <c r="L33" i="31"/>
  <c r="L34" i="31"/>
  <c r="L44" i="31"/>
  <c r="L45" i="31"/>
  <c r="L46" i="31"/>
  <c r="L47" i="31"/>
  <c r="L74" i="31"/>
  <c r="L75" i="31"/>
  <c r="L76" i="31"/>
  <c r="L77" i="31"/>
  <c r="L78" i="31"/>
  <c r="L79" i="31"/>
  <c r="L80" i="31"/>
  <c r="L81" i="31"/>
  <c r="L93" i="31"/>
  <c r="L94" i="31"/>
  <c r="L95" i="31"/>
  <c r="L102" i="31"/>
  <c r="L103" i="31"/>
  <c r="L114" i="31"/>
  <c r="L115" i="31"/>
  <c r="L116" i="31"/>
  <c r="L117" i="31"/>
  <c r="L123" i="31"/>
  <c r="L124" i="31"/>
  <c r="L125" i="31"/>
  <c r="L126" i="31"/>
  <c r="L127" i="31"/>
  <c r="L134" i="31"/>
  <c r="L136" i="31"/>
  <c r="L135" i="31"/>
  <c r="L150" i="31"/>
  <c r="L153" i="31"/>
  <c r="L156" i="31"/>
  <c r="L154" i="31"/>
  <c r="L155" i="31"/>
  <c r="L157" i="31"/>
  <c r="L158" i="31"/>
  <c r="L159" i="31"/>
  <c r="L160" i="31"/>
  <c r="L172" i="31"/>
  <c r="L173" i="31"/>
  <c r="L178" i="31"/>
  <c r="L183" i="31"/>
  <c r="L184" i="31"/>
  <c r="L185" i="31"/>
  <c r="J5" i="31"/>
  <c r="J75" i="31"/>
  <c r="J74" i="31"/>
  <c r="J76" i="31"/>
  <c r="J77" i="31"/>
  <c r="J78" i="31"/>
  <c r="J79" i="31"/>
  <c r="J80" i="31"/>
  <c r="J81" i="31"/>
  <c r="J134" i="31"/>
  <c r="J136" i="31"/>
  <c r="J135" i="31"/>
  <c r="J123" i="31"/>
  <c r="J124" i="31"/>
  <c r="J125" i="31"/>
  <c r="J126" i="31"/>
  <c r="J127" i="31"/>
  <c r="J102" i="31"/>
  <c r="J103" i="31"/>
  <c r="J93" i="31"/>
  <c r="J94" i="31"/>
  <c r="J95" i="31"/>
  <c r="J183" i="31"/>
  <c r="J184" i="31"/>
  <c r="J185" i="31"/>
  <c r="J178" i="31"/>
  <c r="J153" i="31"/>
  <c r="J156" i="31"/>
  <c r="J154" i="31"/>
  <c r="J155" i="31"/>
  <c r="J157" i="31"/>
  <c r="J158" i="31"/>
  <c r="J159" i="31"/>
  <c r="J160" i="31"/>
  <c r="J44" i="31"/>
  <c r="J45" i="31"/>
  <c r="J46" i="31"/>
  <c r="J47" i="31"/>
  <c r="G17" i="31"/>
  <c r="J17" i="31" s="1"/>
  <c r="J18" i="31"/>
  <c r="J19" i="31"/>
  <c r="J20" i="31"/>
  <c r="J21" i="31"/>
  <c r="J22" i="31"/>
  <c r="J23" i="31"/>
  <c r="J24" i="31"/>
  <c r="J26" i="31"/>
  <c r="J27" i="31"/>
  <c r="J28" i="31"/>
  <c r="J29" i="31"/>
  <c r="J30" i="31"/>
  <c r="J31" i="31"/>
  <c r="J32" i="31"/>
  <c r="J33" i="31"/>
  <c r="J34" i="31"/>
  <c r="J11" i="31"/>
  <c r="J12" i="31"/>
  <c r="J172" i="31"/>
  <c r="J173" i="31"/>
  <c r="J150" i="31"/>
  <c r="J87" i="31"/>
  <c r="J88" i="31"/>
  <c r="J89" i="31"/>
  <c r="J114" i="31"/>
  <c r="J115" i="31"/>
  <c r="J116" i="31"/>
  <c r="J117" i="31"/>
  <c r="J197" i="31"/>
  <c r="J198" i="31"/>
  <c r="J199" i="31"/>
  <c r="J200" i="31"/>
  <c r="J201" i="31"/>
  <c r="D5" i="31"/>
  <c r="F5" i="31"/>
  <c r="H5" i="31"/>
  <c r="D11" i="31"/>
  <c r="F11" i="31"/>
  <c r="H11" i="31"/>
  <c r="D12" i="31"/>
  <c r="F12" i="31"/>
  <c r="H12" i="31"/>
  <c r="C17" i="31"/>
  <c r="D17" i="31" s="1"/>
  <c r="E17" i="31"/>
  <c r="D18" i="31"/>
  <c r="F18" i="31"/>
  <c r="H18" i="31"/>
  <c r="D19" i="31"/>
  <c r="F19" i="31"/>
  <c r="H19" i="31"/>
  <c r="D20" i="31"/>
  <c r="F20" i="31"/>
  <c r="H20" i="31"/>
  <c r="D21" i="31"/>
  <c r="F21" i="31"/>
  <c r="H21" i="31"/>
  <c r="D22" i="31"/>
  <c r="F22" i="31"/>
  <c r="H22" i="31"/>
  <c r="F23" i="31"/>
  <c r="H23" i="31"/>
  <c r="F24" i="31"/>
  <c r="H24" i="31"/>
  <c r="F26" i="31"/>
  <c r="H26" i="31"/>
  <c r="F27" i="31"/>
  <c r="H27" i="31"/>
  <c r="F28" i="31"/>
  <c r="H28" i="31"/>
  <c r="F29" i="31"/>
  <c r="H29" i="31"/>
  <c r="F30" i="31"/>
  <c r="H30" i="31"/>
  <c r="F32" i="31"/>
  <c r="H32" i="31"/>
  <c r="F33" i="31"/>
  <c r="H33" i="31"/>
  <c r="F34" i="31"/>
  <c r="H34" i="31"/>
  <c r="D44" i="31"/>
  <c r="F44" i="31"/>
  <c r="H44" i="31"/>
  <c r="F45" i="31"/>
  <c r="H45" i="31"/>
  <c r="F46" i="31"/>
  <c r="H46" i="31"/>
  <c r="F47" i="31"/>
  <c r="H47" i="31"/>
  <c r="D74" i="31"/>
  <c r="F74" i="31"/>
  <c r="H74" i="31"/>
  <c r="D75" i="31"/>
  <c r="F75" i="31"/>
  <c r="H75" i="31"/>
  <c r="D76" i="31"/>
  <c r="F76" i="31"/>
  <c r="H76" i="31"/>
  <c r="D77" i="31"/>
  <c r="F77" i="31"/>
  <c r="H77" i="31"/>
  <c r="D78" i="31"/>
  <c r="F78" i="31"/>
  <c r="H78" i="31"/>
  <c r="F79" i="31"/>
  <c r="H79" i="31"/>
  <c r="F80" i="31"/>
  <c r="H80" i="31"/>
  <c r="F81" i="31"/>
  <c r="H81" i="31"/>
  <c r="D87" i="31"/>
  <c r="F87" i="31"/>
  <c r="H87" i="31"/>
  <c r="F88" i="31"/>
  <c r="H88" i="31"/>
  <c r="F89" i="31"/>
  <c r="H89" i="31"/>
  <c r="D93" i="31"/>
  <c r="F93" i="31"/>
  <c r="H93" i="31"/>
  <c r="F94" i="31"/>
  <c r="H94" i="31"/>
  <c r="F95" i="31"/>
  <c r="H95" i="31"/>
  <c r="D102" i="31"/>
  <c r="F102" i="31"/>
  <c r="H102" i="31"/>
  <c r="D103" i="31"/>
  <c r="F103" i="31"/>
  <c r="H103" i="31"/>
  <c r="D114" i="31"/>
  <c r="F114" i="31"/>
  <c r="H114" i="31"/>
  <c r="F115" i="31"/>
  <c r="H115" i="31"/>
  <c r="F116" i="31"/>
  <c r="H116" i="31"/>
  <c r="F117" i="31"/>
  <c r="H117" i="31"/>
  <c r="D123" i="31"/>
  <c r="F123" i="31"/>
  <c r="H123" i="31"/>
  <c r="D124" i="31"/>
  <c r="F124" i="31"/>
  <c r="H124" i="31"/>
  <c r="F125" i="31"/>
  <c r="H125" i="31"/>
  <c r="F126" i="31"/>
  <c r="H126" i="31"/>
  <c r="F127" i="31"/>
  <c r="H127" i="31"/>
  <c r="D134" i="31"/>
  <c r="F134" i="31"/>
  <c r="H134" i="31"/>
  <c r="D136" i="31"/>
  <c r="F136" i="31"/>
  <c r="H136" i="31"/>
  <c r="F135" i="31"/>
  <c r="H135" i="31"/>
  <c r="D150" i="31"/>
  <c r="F150" i="31"/>
  <c r="H150" i="31"/>
  <c r="D153" i="31"/>
  <c r="F153" i="31"/>
  <c r="H153" i="31"/>
  <c r="D156" i="31"/>
  <c r="F156" i="31"/>
  <c r="H156" i="31"/>
  <c r="F154" i="31"/>
  <c r="H154" i="31"/>
  <c r="F155" i="31"/>
  <c r="H155" i="31"/>
  <c r="F157" i="31"/>
  <c r="H157" i="31"/>
  <c r="F158" i="31"/>
  <c r="H158" i="31"/>
  <c r="F159" i="31"/>
  <c r="H159" i="31"/>
  <c r="F160" i="31"/>
  <c r="H160" i="31"/>
  <c r="D172" i="31"/>
  <c r="F172" i="31"/>
  <c r="H172" i="31"/>
  <c r="D173" i="31"/>
  <c r="F173" i="31"/>
  <c r="H173" i="31"/>
  <c r="D178" i="31"/>
  <c r="F178" i="31"/>
  <c r="H178" i="31"/>
  <c r="D183" i="31"/>
  <c r="F183" i="31"/>
  <c r="H183" i="31"/>
  <c r="D184" i="31"/>
  <c r="F184" i="31"/>
  <c r="H184" i="31"/>
  <c r="D185" i="31"/>
  <c r="F185" i="31"/>
  <c r="H185" i="31"/>
  <c r="D197" i="31"/>
  <c r="F197" i="31"/>
  <c r="H197" i="31"/>
  <c r="D198" i="31"/>
  <c r="F198" i="31"/>
  <c r="H198" i="31"/>
  <c r="F199" i="31"/>
  <c r="H199" i="31"/>
  <c r="F200" i="31"/>
  <c r="H200" i="31"/>
  <c r="F201" i="31"/>
  <c r="H201" i="31"/>
  <c r="A218" i="31"/>
  <c r="E3" i="18"/>
  <c r="S4" i="18"/>
  <c r="T3" i="18" s="1"/>
  <c r="C4" i="18"/>
  <c r="F4" i="18" s="1"/>
  <c r="D15" i="18"/>
  <c r="D19" i="18"/>
  <c r="A25" i="18"/>
  <c r="D3" i="17"/>
  <c r="O4" i="17"/>
  <c r="P3" i="17" s="1"/>
  <c r="E4" i="17"/>
  <c r="O10" i="17"/>
  <c r="P10" i="17" s="1"/>
  <c r="Q10" i="17"/>
  <c r="O11" i="17"/>
  <c r="P11" i="17" s="1"/>
  <c r="O12" i="17"/>
  <c r="P12" i="17" s="1"/>
  <c r="P15" i="17"/>
  <c r="P16" i="17"/>
  <c r="A33" i="17"/>
  <c r="Q12" i="17" l="1"/>
  <c r="H17" i="31"/>
  <c r="N17" i="31"/>
  <c r="Q11" i="17"/>
  <c r="F17" i="31"/>
  <c r="C16" i="18"/>
  <c r="C12" i="18"/>
  <c r="C36" i="17"/>
  <c r="D27" i="17" s="1"/>
  <c r="M27" i="17" s="1"/>
  <c r="D24" i="17"/>
  <c r="M24" i="17" s="1"/>
  <c r="C30" i="17"/>
  <c r="H17" i="17"/>
  <c r="H19" i="17"/>
  <c r="H20" i="17"/>
  <c r="H24" i="17"/>
  <c r="I24" i="17" s="1"/>
  <c r="J24" i="17" s="1"/>
  <c r="H25" i="17"/>
  <c r="I25" i="17" s="1"/>
  <c r="J25" i="17" s="1"/>
  <c r="H27" i="17"/>
  <c r="I27" i="17" s="1"/>
  <c r="J27" i="17" s="1"/>
  <c r="H28" i="17"/>
  <c r="I28" i="17" s="1"/>
  <c r="J28" i="17" s="1"/>
  <c r="H23" i="17"/>
  <c r="I23" i="17" s="1"/>
  <c r="J23" i="17" s="1"/>
  <c r="H26" i="17"/>
  <c r="I26" i="17" s="1"/>
  <c r="J26" i="17" s="1"/>
  <c r="D17" i="17" l="1"/>
  <c r="M17" i="17" s="1"/>
  <c r="D20" i="17"/>
  <c r="M20" i="17" s="1"/>
  <c r="D28" i="17"/>
  <c r="M28" i="17" s="1"/>
  <c r="D26" i="17"/>
  <c r="M26" i="17" s="1"/>
  <c r="D23" i="17"/>
  <c r="M23" i="17" s="1"/>
  <c r="D19" i="17"/>
  <c r="M19" i="17" s="1"/>
  <c r="C14" i="18"/>
  <c r="C17" i="18"/>
  <c r="D12" i="18"/>
  <c r="C23" i="48"/>
  <c r="D12" i="48"/>
  <c r="E16" i="48"/>
  <c r="D25" i="17"/>
  <c r="M25" i="17" s="1"/>
  <c r="H18" i="18"/>
  <c r="H17" i="18"/>
  <c r="H16" i="18"/>
  <c r="H14" i="18"/>
  <c r="H12" i="18"/>
  <c r="I20" i="17"/>
  <c r="J20" i="17" s="1"/>
  <c r="I19" i="17"/>
  <c r="J19" i="17" s="1"/>
  <c r="I17" i="17"/>
  <c r="J17" i="17" s="1"/>
  <c r="K26" i="17"/>
  <c r="I17" i="48"/>
  <c r="I17" i="18"/>
  <c r="I14" i="48"/>
  <c r="I14" i="18"/>
  <c r="K28" i="17"/>
  <c r="K25" i="17"/>
  <c r="I21" i="48"/>
  <c r="I21" i="18"/>
  <c r="K23" i="17"/>
  <c r="I18" i="48"/>
  <c r="I18" i="18"/>
  <c r="I16" i="48"/>
  <c r="I16" i="18"/>
  <c r="I12" i="48"/>
  <c r="I12" i="18"/>
  <c r="K27" i="17"/>
  <c r="K24" i="17"/>
  <c r="C23" i="18" l="1"/>
  <c r="E12" i="18" s="1"/>
  <c r="D30" i="17"/>
  <c r="R7" i="48"/>
  <c r="V7" i="18"/>
  <c r="M30" i="17"/>
  <c r="J36" i="17"/>
  <c r="E16" i="18"/>
  <c r="E12" i="48"/>
  <c r="E17" i="48"/>
  <c r="E21" i="48"/>
  <c r="E18" i="48"/>
  <c r="E14" i="48"/>
  <c r="E18" i="18"/>
  <c r="E14" i="18"/>
  <c r="E17" i="18"/>
  <c r="E21" i="18"/>
  <c r="J21" i="18"/>
  <c r="K21" i="18" s="1"/>
  <c r="N21" i="18"/>
  <c r="O21" i="18" s="1"/>
  <c r="J12" i="48"/>
  <c r="K12" i="48" s="1"/>
  <c r="N14" i="18"/>
  <c r="O14" i="18" s="1"/>
  <c r="J14" i="18"/>
  <c r="K14" i="18" s="1"/>
  <c r="J16" i="48"/>
  <c r="K16" i="48" s="1"/>
  <c r="N17" i="18"/>
  <c r="O17" i="18" s="1"/>
  <c r="J17" i="18"/>
  <c r="K17" i="18" s="1"/>
  <c r="J18" i="48"/>
  <c r="K18" i="48" s="1"/>
  <c r="J21" i="48"/>
  <c r="K21" i="48" s="1"/>
  <c r="K17" i="17"/>
  <c r="K19" i="17"/>
  <c r="K20" i="17"/>
  <c r="N12" i="18"/>
  <c r="O12" i="18" s="1"/>
  <c r="J12" i="18"/>
  <c r="K12" i="18" s="1"/>
  <c r="J14" i="48"/>
  <c r="K14" i="48" s="1"/>
  <c r="N16" i="18"/>
  <c r="O16" i="18" s="1"/>
  <c r="J16" i="18"/>
  <c r="K16" i="18" s="1"/>
  <c r="J17" i="48"/>
  <c r="K17" i="48" s="1"/>
  <c r="N18" i="18"/>
  <c r="O18" i="18" s="1"/>
  <c r="J18" i="18"/>
  <c r="K18" i="18" s="1"/>
  <c r="B7" i="18" l="1"/>
  <c r="B7" i="48"/>
  <c r="G23" i="48" s="1"/>
  <c r="E23" i="48"/>
  <c r="E23" i="18"/>
  <c r="K30" i="17"/>
  <c r="O23" i="18"/>
  <c r="P18" i="18" s="1"/>
  <c r="G23" i="18"/>
  <c r="K23" i="18"/>
  <c r="L17" i="18" s="1"/>
  <c r="K23" i="48"/>
  <c r="L17" i="48" s="1"/>
  <c r="L27" i="17" l="1"/>
  <c r="L24" i="17"/>
  <c r="L25" i="17"/>
  <c r="L28" i="17"/>
  <c r="L23" i="17"/>
  <c r="L26" i="17"/>
  <c r="L20" i="17"/>
  <c r="L17" i="17"/>
  <c r="L19" i="17"/>
  <c r="P14" i="18"/>
  <c r="P21" i="18"/>
  <c r="P17" i="18"/>
  <c r="L12" i="18"/>
  <c r="L16" i="18"/>
  <c r="P12" i="18"/>
  <c r="L12" i="48"/>
  <c r="L21" i="48"/>
  <c r="L16" i="48"/>
  <c r="L18" i="48"/>
  <c r="L18" i="18"/>
  <c r="L21" i="18"/>
  <c r="P16" i="18"/>
  <c r="F16" i="18"/>
  <c r="G16" i="18" s="1"/>
  <c r="F18" i="18"/>
  <c r="G18" i="18" s="1"/>
  <c r="F12" i="18"/>
  <c r="G12" i="18" s="1"/>
  <c r="F14" i="18"/>
  <c r="G14" i="18" s="1"/>
  <c r="F17" i="18"/>
  <c r="G17" i="18" s="1"/>
  <c r="F21" i="18"/>
  <c r="G21" i="18" s="1"/>
  <c r="F14" i="48"/>
  <c r="G14" i="48" s="1"/>
  <c r="F16" i="48"/>
  <c r="G16" i="48" s="1"/>
  <c r="F17" i="48"/>
  <c r="F18" i="48"/>
  <c r="G18" i="48" s="1"/>
  <c r="F21" i="48"/>
  <c r="G21" i="48" s="1"/>
  <c r="F12" i="48"/>
  <c r="G12" i="48" s="1"/>
  <c r="G17" i="48"/>
  <c r="L14" i="18"/>
  <c r="L14" i="48"/>
  <c r="P23" i="18" l="1"/>
  <c r="P11" i="18" s="1"/>
  <c r="P10" i="18" s="1"/>
  <c r="Q12" i="18" s="1"/>
  <c r="F23" i="48"/>
  <c r="F23" i="18"/>
  <c r="R12" i="18"/>
  <c r="L23" i="18"/>
  <c r="M21" i="18" s="1"/>
  <c r="L23" i="48"/>
  <c r="M18" i="48" s="1"/>
  <c r="Q18" i="18"/>
  <c r="R18" i="18" s="1"/>
  <c r="S18" i="18" s="1"/>
  <c r="Q16" i="18" l="1"/>
  <c r="R16" i="18" s="1"/>
  <c r="S16" i="18" s="1"/>
  <c r="U16" i="18" s="1"/>
  <c r="Q17" i="18"/>
  <c r="R17" i="18" s="1"/>
  <c r="S17" i="18" s="1"/>
  <c r="U17" i="18" s="1"/>
  <c r="Q21" i="18"/>
  <c r="R21" i="18" s="1"/>
  <c r="S21" i="18" s="1"/>
  <c r="U21" i="18" s="1"/>
  <c r="Q14" i="18"/>
  <c r="R14" i="18" s="1"/>
  <c r="S14" i="18" s="1"/>
  <c r="U14" i="18" s="1"/>
  <c r="M18" i="18"/>
  <c r="L30" i="17"/>
  <c r="R18" i="48"/>
  <c r="N18" i="48"/>
  <c r="O18" i="48" s="1"/>
  <c r="U18" i="18"/>
  <c r="T18" i="18"/>
  <c r="L11" i="48"/>
  <c r="L10" i="48" s="1"/>
  <c r="M12" i="48" s="1"/>
  <c r="M17" i="48"/>
  <c r="M21" i="48"/>
  <c r="T16" i="18"/>
  <c r="L11" i="18"/>
  <c r="L10" i="18" s="1"/>
  <c r="M12" i="18" s="1"/>
  <c r="M17" i="18"/>
  <c r="M16" i="18"/>
  <c r="M14" i="48"/>
  <c r="M16" i="48"/>
  <c r="U12" i="18"/>
  <c r="M14" i="18"/>
  <c r="T17" i="18" l="1"/>
  <c r="Q23" i="18"/>
  <c r="T14" i="18"/>
  <c r="T21" i="18"/>
  <c r="R23" i="18"/>
  <c r="R14" i="48"/>
  <c r="N14" i="48"/>
  <c r="O14" i="48" s="1"/>
  <c r="R17" i="48"/>
  <c r="N17" i="48"/>
  <c r="O17" i="48" s="1"/>
  <c r="Q18" i="48"/>
  <c r="P18" i="48"/>
  <c r="U23" i="18"/>
  <c r="U26" i="18" s="1"/>
  <c r="S12" i="18" s="1"/>
  <c r="R16" i="48"/>
  <c r="N16" i="48"/>
  <c r="O16" i="48" s="1"/>
  <c r="M23" i="18"/>
  <c r="R21" i="48"/>
  <c r="N21" i="48"/>
  <c r="O21" i="48" s="1"/>
  <c r="M23" i="48"/>
  <c r="R23" i="48" s="1"/>
  <c r="R12" i="48"/>
  <c r="N12" i="48"/>
  <c r="T12" i="18" l="1"/>
  <c r="T23" i="18" s="1"/>
  <c r="S23" i="18"/>
  <c r="Q21" i="48"/>
  <c r="P21" i="48"/>
  <c r="N23" i="48"/>
  <c r="Q12" i="48"/>
  <c r="Q16" i="48"/>
  <c r="P16" i="48"/>
  <c r="Q17" i="48"/>
  <c r="P17" i="48"/>
  <c r="Q14" i="48"/>
  <c r="P14" i="48"/>
  <c r="Q23" i="48" l="1"/>
  <c r="Q26" i="48" s="1"/>
  <c r="O12" i="48" s="1"/>
  <c r="P12" i="48" l="1"/>
  <c r="P23" i="48" s="1"/>
  <c r="O23" i="48"/>
  <c r="R7" i="17" l="1"/>
  <c r="B7" i="17"/>
  <c r="C38" i="17" l="1"/>
  <c r="F30" i="17"/>
  <c r="R28" i="17"/>
  <c r="R24" i="17"/>
  <c r="R23" i="17"/>
  <c r="R27" i="17"/>
  <c r="R26" i="17"/>
  <c r="R19" i="17"/>
  <c r="R25" i="17"/>
  <c r="R20" i="17"/>
  <c r="R17" i="17"/>
  <c r="E26" i="17" l="1"/>
  <c r="N25" i="17"/>
  <c r="F26" i="17"/>
  <c r="N26" i="17"/>
  <c r="E11" i="17"/>
  <c r="N24" i="17"/>
  <c r="E28" i="17"/>
  <c r="F28" i="17" s="1"/>
  <c r="E20" i="17"/>
  <c r="N19" i="17"/>
  <c r="N20" i="17"/>
  <c r="O20" i="17" s="1"/>
  <c r="N28" i="17"/>
  <c r="O28" i="17" s="1"/>
  <c r="N23" i="17"/>
  <c r="E19" i="17"/>
  <c r="F19" i="17" s="1"/>
  <c r="E27" i="17"/>
  <c r="F27" i="17" s="1"/>
  <c r="E12" i="17"/>
  <c r="E23" i="17"/>
  <c r="F23" i="17" s="1"/>
  <c r="N27" i="17"/>
  <c r="F20" i="17"/>
  <c r="E17" i="17"/>
  <c r="F17" i="17" s="1"/>
  <c r="E25" i="17"/>
  <c r="F25" i="17" s="1"/>
  <c r="E24" i="17"/>
  <c r="F24" i="17" s="1"/>
  <c r="N17" i="17"/>
  <c r="O23" i="17"/>
  <c r="E10" i="17"/>
  <c r="R30" i="17"/>
  <c r="O27" i="17" l="1"/>
  <c r="Q27" i="17" s="1"/>
  <c r="O26" i="17"/>
  <c r="P26" i="17" s="1"/>
  <c r="O24" i="17"/>
  <c r="P24" i="17" s="1"/>
  <c r="O25" i="17"/>
  <c r="P25" i="17" s="1"/>
  <c r="O19" i="17"/>
  <c r="Q19" i="17" s="1"/>
  <c r="N30" i="17"/>
  <c r="Q17" i="17"/>
  <c r="E30" i="17"/>
  <c r="Q28" i="17"/>
  <c r="P28" i="17"/>
  <c r="P20" i="17"/>
  <c r="Q20" i="17"/>
  <c r="Q24" i="17"/>
  <c r="Q23" i="17"/>
  <c r="P23" i="17"/>
  <c r="P27" i="17" l="1"/>
  <c r="Q26" i="17"/>
  <c r="Q25" i="17"/>
  <c r="P19" i="17"/>
  <c r="Q30" i="17" l="1"/>
  <c r="Q34" i="17" s="1"/>
  <c r="O17" i="17" s="1"/>
  <c r="P17" i="17" s="1"/>
  <c r="P30" i="17" s="1"/>
  <c r="O30" i="17" l="1"/>
</calcChain>
</file>

<file path=xl/comments1.xml><?xml version="1.0" encoding="utf-8"?>
<comments xmlns="http://schemas.openxmlformats.org/spreadsheetml/2006/main">
  <authors>
    <author>Valued Gateway Client</author>
  </authors>
  <commentList>
    <comment ref="A27" authorId="0">
      <text>
        <r>
          <rPr>
            <b/>
            <sz val="8"/>
            <color indexed="81"/>
            <rFont val="Tahoma"/>
            <family val="2"/>
          </rPr>
          <t>Valued Gateway Client:</t>
        </r>
        <r>
          <rPr>
            <sz val="8"/>
            <color indexed="81"/>
            <rFont val="Tahoma"/>
            <family val="2"/>
          </rPr>
          <t xml:space="preserve">
extended until June 30, 2009</t>
        </r>
      </text>
    </comment>
  </commentList>
</comments>
</file>

<file path=xl/comments2.xml><?xml version="1.0" encoding="utf-8"?>
<comments xmlns="http://schemas.openxmlformats.org/spreadsheetml/2006/main">
  <authors>
    <author>Michael Pelham</author>
  </authors>
  <commentList>
    <comment ref="B1" authorId="0">
      <text>
        <r>
          <rPr>
            <b/>
            <sz val="9"/>
            <color indexed="81"/>
            <rFont val="Tahoma"/>
            <family val="2"/>
          </rPr>
          <t>Michael Pelham:</t>
        </r>
        <r>
          <rPr>
            <sz val="9"/>
            <color indexed="81"/>
            <rFont val="Tahoma"/>
            <family val="2"/>
          </rPr>
          <t xml:space="preserve">
This will need to be changed if the final base changes  FY15 Base</t>
        </r>
      </text>
    </comment>
    <comment ref="B4" authorId="0">
      <text>
        <r>
          <rPr>
            <b/>
            <sz val="9"/>
            <color indexed="81"/>
            <rFont val="Tahoma"/>
            <family val="2"/>
          </rPr>
          <t>Michael Pelham:</t>
        </r>
        <r>
          <rPr>
            <sz val="9"/>
            <color indexed="81"/>
            <rFont val="Tahoma"/>
            <family val="2"/>
          </rPr>
          <t xml:space="preserve">
I changed this from PROJECTED TO ACTUAL PER STATUTE 360.680</t>
        </r>
      </text>
    </comment>
    <comment ref="B5" authorId="0">
      <text>
        <r>
          <rPr>
            <b/>
            <sz val="9"/>
            <color indexed="81"/>
            <rFont val="Tahoma"/>
            <family val="2"/>
          </rPr>
          <t>Michael Pelham:</t>
        </r>
        <r>
          <rPr>
            <sz val="9"/>
            <color indexed="81"/>
            <rFont val="Tahoma"/>
            <family val="2"/>
          </rPr>
          <t xml:space="preserve">
Use Column 12 numbers from Base FY15 Preliminary spreadsheet</t>
        </r>
      </text>
    </comment>
  </commentList>
</comments>
</file>

<file path=xl/sharedStrings.xml><?xml version="1.0" encoding="utf-8"?>
<sst xmlns="http://schemas.openxmlformats.org/spreadsheetml/2006/main" count="2995" uniqueCount="559">
  <si>
    <t>BCCRT</t>
  </si>
  <si>
    <t>SCCRT</t>
  </si>
  <si>
    <t>CIGARETTE</t>
  </si>
  <si>
    <t>LIQUOR</t>
  </si>
  <si>
    <t>RPTT</t>
  </si>
  <si>
    <t>TOTAL</t>
  </si>
  <si>
    <t>CARSON CITY</t>
  </si>
  <si>
    <t>CHURCHILL</t>
  </si>
  <si>
    <t>CLARK</t>
  </si>
  <si>
    <t>DOUGLAS</t>
  </si>
  <si>
    <t>ELKO</t>
  </si>
  <si>
    <t>ESMERALDA</t>
  </si>
  <si>
    <t>EUREKA</t>
  </si>
  <si>
    <t>HUMBOLDT</t>
  </si>
  <si>
    <t>LANDER</t>
  </si>
  <si>
    <t>LINCOLN</t>
  </si>
  <si>
    <t>LYON</t>
  </si>
  <si>
    <t>MINERAL</t>
  </si>
  <si>
    <t>NYE</t>
  </si>
  <si>
    <t>PERSHING</t>
  </si>
  <si>
    <t>STOREY</t>
  </si>
  <si>
    <t>WASHOE</t>
  </si>
  <si>
    <t>WHITE PINE</t>
  </si>
  <si>
    <t>(1)</t>
  </si>
  <si>
    <t>(4)</t>
  </si>
  <si>
    <t>(5)</t>
  </si>
  <si>
    <t>(6)</t>
  </si>
  <si>
    <t>(7)</t>
  </si>
  <si>
    <t>(8)</t>
  </si>
  <si>
    <t>(9)</t>
  </si>
  <si>
    <t>(10)</t>
  </si>
  <si>
    <t>(11)</t>
  </si>
  <si>
    <t>(12)</t>
  </si>
  <si>
    <t>(13)</t>
  </si>
  <si>
    <t xml:space="preserve">ESTIMATE </t>
  </si>
  <si>
    <t>PERCENTAGE</t>
  </si>
  <si>
    <t>CONSOLIDATED</t>
  </si>
  <si>
    <t>GOV'T ENTITY</t>
  </si>
  <si>
    <t xml:space="preserve">POPULATION </t>
  </si>
  <si>
    <t>COMBINED</t>
  </si>
  <si>
    <t>THE COUNTY OF DOUGLAS</t>
  </si>
  <si>
    <t>REVENUE</t>
  </si>
  <si>
    <t>TO TOTAL</t>
  </si>
  <si>
    <t>EXCESS</t>
  </si>
  <si>
    <t>GROWTH</t>
  </si>
  <si>
    <t>PROJECTION</t>
  </si>
  <si>
    <t>BASE</t>
  </si>
  <si>
    <t>DISTRIBUTION</t>
  </si>
  <si>
    <t>FACTOR</t>
  </si>
  <si>
    <t>AMOUNT</t>
  </si>
  <si>
    <t>TOTAL REVENUE AVAILABLE TO DISTRIBUTE</t>
  </si>
  <si>
    <t>DOUGLAS COUNTY SEWER IMPROVEMENT GID</t>
  </si>
  <si>
    <t>ELK POINT SANITATION GID</t>
  </si>
  <si>
    <t>MINDEN/GARDNERVILLE SANITATION GID</t>
  </si>
  <si>
    <t>TAHOE DOUGLAS SEWER IMPROVEMENT GID</t>
  </si>
  <si>
    <t>LOCAL GOVERNMENTS</t>
  </si>
  <si>
    <t>DOUGLAS COUNTY</t>
  </si>
  <si>
    <t>GARDNERVILLE</t>
  </si>
  <si>
    <t>GENOA</t>
  </si>
  <si>
    <t>MINDEN</t>
  </si>
  <si>
    <t>SPECIAL DISTRICTS</t>
  </si>
  <si>
    <t>CARSON-TRUCKEE WATER CONSERVANCY</t>
  </si>
  <si>
    <t>CAVE ROCK GID</t>
  </si>
  <si>
    <t>DOUGLAS MOSQUITO PROTECTION GID</t>
  </si>
  <si>
    <t>EAST FORK FIRE PROTECTION</t>
  </si>
  <si>
    <t>GARDNERVILLE RANCHOS GID</t>
  </si>
  <si>
    <t>INDIAN HILLS GID</t>
  </si>
  <si>
    <t>KINGSBURY GID</t>
  </si>
  <si>
    <t>LAKERIDGE GID</t>
  </si>
  <si>
    <t>LOGAN CREEK GID</t>
  </si>
  <si>
    <t>MARLA BAY GID</t>
  </si>
  <si>
    <t>OLIVER PARK GID</t>
  </si>
  <si>
    <t>ROUND HILL GID</t>
  </si>
  <si>
    <t>SIERRA FOREST FIRE PROTECTION</t>
  </si>
  <si>
    <t>SKYLAND GID</t>
  </si>
  <si>
    <t>TAHOE DOUGLAS FIRE PROTECTION</t>
  </si>
  <si>
    <t>TOPAZ RANCH GID</t>
  </si>
  <si>
    <t>ZEPHYR COVE GID</t>
  </si>
  <si>
    <t>ZEPHYR HEIGHTS GID</t>
  </si>
  <si>
    <t>ZEPHYR KNOLLS GID</t>
  </si>
  <si>
    <t>TOTAL DOUGLAS COUNTY</t>
  </si>
  <si>
    <t>ASSESSED</t>
  </si>
  <si>
    <t>VALUATION</t>
  </si>
  <si>
    <t>THE COUNTY OF ELKO</t>
  </si>
  <si>
    <t>ELKO CONVENTION/VISITORS AUTHORITY</t>
  </si>
  <si>
    <t>ELKO TELEVISION DISTRICT</t>
  </si>
  <si>
    <t>ELKO COUNTY</t>
  </si>
  <si>
    <t>CARLIN</t>
  </si>
  <si>
    <t>ELKO CITY</t>
  </si>
  <si>
    <t>WELLS</t>
  </si>
  <si>
    <t>WEST WENDOVER</t>
  </si>
  <si>
    <t>JACKPOT</t>
  </si>
  <si>
    <t>MONTELLO</t>
  </si>
  <si>
    <t>MOUNTAIN CITY</t>
  </si>
  <si>
    <t>TOTAL ELKO COUNTY</t>
  </si>
  <si>
    <t>FY 96/97</t>
  </si>
  <si>
    <t>FY 97/98</t>
  </si>
  <si>
    <t>FY 98/99</t>
  </si>
  <si>
    <t>5 YEAR MOVING</t>
  </si>
  <si>
    <t>POPULATION</t>
  </si>
  <si>
    <t>VALUE</t>
  </si>
  <si>
    <t>CHANGE</t>
  </si>
  <si>
    <t>Excludes NPM</t>
  </si>
  <si>
    <t>CRS-TRK WATER</t>
  </si>
  <si>
    <t>SIERRA FFIRE</t>
  </si>
  <si>
    <t xml:space="preserve"> </t>
  </si>
  <si>
    <t>CHURCHILL CO</t>
  </si>
  <si>
    <t>FALLON</t>
  </si>
  <si>
    <t>CHURCHILL MOSQ</t>
  </si>
  <si>
    <t>CLARK COUNTY</t>
  </si>
  <si>
    <t>BOULDER CITY</t>
  </si>
  <si>
    <t>HENDERSON</t>
  </si>
  <si>
    <t>LAS VEGAS</t>
  </si>
  <si>
    <t>MESQUITE</t>
  </si>
  <si>
    <t>NORTH LAS VEGAS</t>
  </si>
  <si>
    <t>BUNKERVILLE</t>
  </si>
  <si>
    <t>ENTERPRISE</t>
  </si>
  <si>
    <t>GLENDALE</t>
  </si>
  <si>
    <t>LAUGHLIN</t>
  </si>
  <si>
    <t>MOAPA VALLEY</t>
  </si>
  <si>
    <t>PARADISE</t>
  </si>
  <si>
    <t>SEARCHLIGHT</t>
  </si>
  <si>
    <t>SPRING VALLEY</t>
  </si>
  <si>
    <t>SUMMERLIN</t>
  </si>
  <si>
    <t>SUNRISE MANOR</t>
  </si>
  <si>
    <t>WHITNEY</t>
  </si>
  <si>
    <t>WINCHESTER</t>
  </si>
  <si>
    <t>BOULDER LIBRARY</t>
  </si>
  <si>
    <t>CLARK CO FIRE</t>
  </si>
  <si>
    <t>HENDERSON LIBRARY</t>
  </si>
  <si>
    <t>LV/CC LIBRARY</t>
  </si>
  <si>
    <t>MOAPA VLY FIRE</t>
  </si>
  <si>
    <t>MT CHAS FIRE</t>
  </si>
  <si>
    <t>*KYLE CANYON WATER</t>
  </si>
  <si>
    <t>DOUGLAS CO</t>
  </si>
  <si>
    <t>*DO CO SEWER #1</t>
  </si>
  <si>
    <t>DO MOSQUITO</t>
  </si>
  <si>
    <t>EAST FORK FIRE</t>
  </si>
  <si>
    <t>*ELK PNT SANITATION</t>
  </si>
  <si>
    <t>GARDNRV'LL RANCHOS</t>
  </si>
  <si>
    <t>*MDN/GDNV SANIT</t>
  </si>
  <si>
    <t>TAHOE DO FIRE</t>
  </si>
  <si>
    <t>*TAHOE DO SEWER</t>
  </si>
  <si>
    <t>ZEPHYR COVEGID</t>
  </si>
  <si>
    <t>ELKO CO</t>
  </si>
  <si>
    <t xml:space="preserve">ELKO </t>
  </si>
  <si>
    <t xml:space="preserve">*ELKO CONVN/VISITOR </t>
  </si>
  <si>
    <t>*ELKO TV</t>
  </si>
  <si>
    <t>GOLDFIELD</t>
  </si>
  <si>
    <t>SILVER PEAK</t>
  </si>
  <si>
    <t>EUREKA CO</t>
  </si>
  <si>
    <t>CRESCENT VALLEY</t>
  </si>
  <si>
    <t>DIAMOND VLLY RODENT</t>
  </si>
  <si>
    <t>DIAMOND VLLY WEED</t>
  </si>
  <si>
    <t>*EUREKA TV</t>
  </si>
  <si>
    <t>HUMBOLDT CO</t>
  </si>
  <si>
    <t>WINNEMUCCA</t>
  </si>
  <si>
    <t>GOLCONDA FIRE</t>
  </si>
  <si>
    <t>HUMBOLDT FIRE</t>
  </si>
  <si>
    <t>HUMBOLDT HOSPITAL</t>
  </si>
  <si>
    <t>MCDERMIT FIRE</t>
  </si>
  <si>
    <t>OROVADA COMM SERVICES</t>
  </si>
  <si>
    <t>OROVADA FIRE</t>
  </si>
  <si>
    <t>PARADISE FIRE</t>
  </si>
  <si>
    <t>PUEBLO FIRE</t>
  </si>
  <si>
    <t>WINN RURAL FIRE</t>
  </si>
  <si>
    <t>LANDER CO</t>
  </si>
  <si>
    <t>AUSTIN</t>
  </si>
  <si>
    <t>BATTLE MOUNTAIN</t>
  </si>
  <si>
    <t>KINGSTON</t>
  </si>
  <si>
    <t>LANDER HOSPITAL</t>
  </si>
  <si>
    <t>*LANDER SEWER</t>
  </si>
  <si>
    <t>LINCOLN CO</t>
  </si>
  <si>
    <t>CALIENTE</t>
  </si>
  <si>
    <t>ALAMO</t>
  </si>
  <si>
    <t>PANACA</t>
  </si>
  <si>
    <t>PIOCHE</t>
  </si>
  <si>
    <t>LINCOLN HOSPITAL</t>
  </si>
  <si>
    <t>PAHRANAGAT VLY FIRE</t>
  </si>
  <si>
    <t>PIOCHE FIRE</t>
  </si>
  <si>
    <t>LYON COUNTY</t>
  </si>
  <si>
    <t>YERINGTON</t>
  </si>
  <si>
    <t>FERNLEY</t>
  </si>
  <si>
    <t>CRS TRK WATER LY</t>
  </si>
  <si>
    <t>CENTRAL LYON FIRE</t>
  </si>
  <si>
    <t>LYON HOSPITAL</t>
  </si>
  <si>
    <t>MASON VLY FIRE</t>
  </si>
  <si>
    <t>MASON VLY MOSQUITO</t>
  </si>
  <si>
    <t>NORTH LYON FIRE</t>
  </si>
  <si>
    <t>SLVR SP/STCH HOSP</t>
  </si>
  <si>
    <t>SMITH VLY FIRE</t>
  </si>
  <si>
    <t>*STAGECOACH GID</t>
  </si>
  <si>
    <t>*WILLOWCREEK GID</t>
  </si>
  <si>
    <t>MINERAL CO</t>
  </si>
  <si>
    <t>MINERAL HOSPITAL</t>
  </si>
  <si>
    <t>NYE CO</t>
  </si>
  <si>
    <t>GABBS</t>
  </si>
  <si>
    <t>AMARGOSA</t>
  </si>
  <si>
    <t>BEATTY</t>
  </si>
  <si>
    <t>MANHATTAN</t>
  </si>
  <si>
    <t>PAHRUMP</t>
  </si>
  <si>
    <t>ROUND MTN</t>
  </si>
  <si>
    <t>TONOPAH</t>
  </si>
  <si>
    <t>NYE HOSPITAL</t>
  </si>
  <si>
    <t>PAHRUMP SWIM</t>
  </si>
  <si>
    <t>PAHRUMP LIBRARY</t>
  </si>
  <si>
    <t>SMOKY VLY LIBRARY</t>
  </si>
  <si>
    <t>PERSHING CO</t>
  </si>
  <si>
    <t>LOVELOCK</t>
  </si>
  <si>
    <t>PERSHING HOSPITAL</t>
  </si>
  <si>
    <t>STOREY CO</t>
  </si>
  <si>
    <t>CRS TRUCK WATER ST</t>
  </si>
  <si>
    <t>WASHOE CO</t>
  </si>
  <si>
    <t>RENO</t>
  </si>
  <si>
    <t>SPARKS</t>
  </si>
  <si>
    <t>CRS TRUCK WATER WA</t>
  </si>
  <si>
    <t>INCLINE VILLAGE GID</t>
  </si>
  <si>
    <t>NO LAKE TAHOE FIRE</t>
  </si>
  <si>
    <t>PALOMINO VALLEY GID</t>
  </si>
  <si>
    <t>SIERRA FFIRE WA</t>
  </si>
  <si>
    <t>*SUN VALLEY WATER</t>
  </si>
  <si>
    <t>TRK MEADOWS FIRE</t>
  </si>
  <si>
    <t>*VERDI TV</t>
  </si>
  <si>
    <t>WHITE PINE CO</t>
  </si>
  <si>
    <t>ELY</t>
  </si>
  <si>
    <t>LUND</t>
  </si>
  <si>
    <t>MCGILL</t>
  </si>
  <si>
    <t>RUTH</t>
  </si>
  <si>
    <t>WHITE PINE HOSPITAL</t>
  </si>
  <si>
    <t>THE COUNTY OF CARSON CITY</t>
  </si>
  <si>
    <t>TOTAL CARSON CITY</t>
  </si>
  <si>
    <t xml:space="preserve">THE COUNTY OF CHURCHILL </t>
  </si>
  <si>
    <t>CHURCHILL COUNTY</t>
  </si>
  <si>
    <t>CHURCHILL MOSQUITO ABATEMENT GID</t>
  </si>
  <si>
    <t>TOTAL CHURCHILL COUNTY</t>
  </si>
  <si>
    <t>THE COUNTY OF CLARK</t>
  </si>
  <si>
    <t>KYLE CANYON WATER DISTRICT</t>
  </si>
  <si>
    <t xml:space="preserve">MOAPA VALLEY </t>
  </si>
  <si>
    <t>BOULDER LIBRARY DISTRICT</t>
  </si>
  <si>
    <t xml:space="preserve">CLARK COUNTY FIRE PROTECTION </t>
  </si>
  <si>
    <t>HENDERSON LIBRARY DISTRICT</t>
  </si>
  <si>
    <t>LAS VEGAS/CLARK CO LIBRARY DISTRICT</t>
  </si>
  <si>
    <t xml:space="preserve">MOAPA FIRE PROTECTION </t>
  </si>
  <si>
    <t>MT CHARLESTON FIRE PROTECTION</t>
  </si>
  <si>
    <t>TOTAL CLARK COUNTY</t>
  </si>
  <si>
    <t xml:space="preserve">THE COUNTY OF ESMERALDA  </t>
  </si>
  <si>
    <t>ESMERALDA COUNTY</t>
  </si>
  <si>
    <t>TOTAL ESMERALDA COUNTY</t>
  </si>
  <si>
    <t>THE COUNTY OF EUREKA</t>
  </si>
  <si>
    <t>EUREKA TELEVISION DISTRICT</t>
  </si>
  <si>
    <t>EUREKA COUNTY</t>
  </si>
  <si>
    <t>CRESENT VALLEY</t>
  </si>
  <si>
    <t>DIAMOND VALLEY RODENT</t>
  </si>
  <si>
    <t>DIAMOND VALLEY WEED</t>
  </si>
  <si>
    <t>TOTAL EUREKA COUNTY</t>
  </si>
  <si>
    <t>HUMBOLDT COUNTY</t>
  </si>
  <si>
    <t>GOLCONDA FIRE PROTECTION</t>
  </si>
  <si>
    <t>HUMBOLDT FIRE PROTECTION</t>
  </si>
  <si>
    <t>HUMBOLDT HOSPITAL DISTRICT</t>
  </si>
  <si>
    <t>MCDERMIT FIRE PROTECTION</t>
  </si>
  <si>
    <t>OROVADA COMMUNITY SERVICES GID</t>
  </si>
  <si>
    <t>OROVADA FIRE PROTECTION</t>
  </si>
  <si>
    <t>PARADISE FIRE PROTECTION</t>
  </si>
  <si>
    <t>PUEBLO FIRE PROTECTION</t>
  </si>
  <si>
    <t>WINNEMUCCA RURAL FIRE PROTECTION</t>
  </si>
  <si>
    <t>TOTAL HUMBOLDT COUNTY</t>
  </si>
  <si>
    <t>THE COUNTY OF LANDER</t>
  </si>
  <si>
    <t>LANDER CO SEWER IMPROVEMENT DISTRICT #2</t>
  </si>
  <si>
    <t>LANDER COUNTY</t>
  </si>
  <si>
    <t>LANDER HOSPITAL DISTRICT</t>
  </si>
  <si>
    <t>TOTAL LANDER COUNTY</t>
  </si>
  <si>
    <t>THE COUNTY OF LINCOLN</t>
  </si>
  <si>
    <t>LINCOLN COUNTY</t>
  </si>
  <si>
    <t>LINCOLN COUNTY HOSPITAL DISTRICT</t>
  </si>
  <si>
    <t>PAHRANAGAT VALLEY FIRE PROTECTION</t>
  </si>
  <si>
    <t>PIOCHE FIRE PROTECTION</t>
  </si>
  <si>
    <t>TOTAL LINCOLN COUNTY</t>
  </si>
  <si>
    <t>THE COUNTY OF LYON</t>
  </si>
  <si>
    <t>STAGECOACH GID</t>
  </si>
  <si>
    <t>WILLOWCREEK GID</t>
  </si>
  <si>
    <t>CENTRAL LYON FIRE PROTECTION</t>
  </si>
  <si>
    <t>MASON VALLEY FIRE PROTECTION</t>
  </si>
  <si>
    <t>MASON VALLEY MOSQUITO ABATEMENT</t>
  </si>
  <si>
    <t>NORTH LYON FIRE PROTECTION</t>
  </si>
  <si>
    <t>SILVER SPRINGS STAGECOACH HOSPITAL</t>
  </si>
  <si>
    <t>SMITH VALLEY FIRE PROTECTION</t>
  </si>
  <si>
    <t>SOUTH  LYON HOSPITAL DISTRICT</t>
  </si>
  <si>
    <t>TOTAL LYON COUNTY</t>
  </si>
  <si>
    <t xml:space="preserve">THE COUNTY OF MINERAL </t>
  </si>
  <si>
    <t>MINERAL COUNTY</t>
  </si>
  <si>
    <t>MINERAL COUNTY HOSPITAL DISTRICT</t>
  </si>
  <si>
    <t>TOTAL MINERAL COUNTY</t>
  </si>
  <si>
    <t>NYE COUNTY</t>
  </si>
  <si>
    <t>ROUND MOUNTAIN</t>
  </si>
  <si>
    <t>AMARGOSA LIBRARY DISTRICT</t>
  </si>
  <si>
    <t>BEATTY LIBRARY DISTRICT</t>
  </si>
  <si>
    <t>PAHRUMP COMMUNITY HOSPITAL</t>
  </si>
  <si>
    <t>PAHRUMP LIBRARY DISTRICT</t>
  </si>
  <si>
    <t>PAHRUMP SWIM POOL GID</t>
  </si>
  <si>
    <t>SMOKY VALLEY LIBRARY DISTRICT</t>
  </si>
  <si>
    <t>TONOPAH LIBRARY DISTRICT</t>
  </si>
  <si>
    <t>TOTAL NYE COUNTY</t>
  </si>
  <si>
    <t xml:space="preserve">THE COUNTY OF PERSHING </t>
  </si>
  <si>
    <t>PERSHING COUNTY</t>
  </si>
  <si>
    <t>PERSHING COUNTY HOSPITAL DISTRICT</t>
  </si>
  <si>
    <t>TOTAL PERSHING COUNTY</t>
  </si>
  <si>
    <t>THE COUNTY OF STOREY</t>
  </si>
  <si>
    <t>STOREY COUNTY</t>
  </si>
  <si>
    <t>TOTAL STOREY COUNTY</t>
  </si>
  <si>
    <t>THE COUNTY OF WASHOE</t>
  </si>
  <si>
    <t>SUN VALLEY WATER AND SANITATION GID</t>
  </si>
  <si>
    <t>VERDI TELEVISION GID</t>
  </si>
  <si>
    <t>LEMMON VALLEY UNDERGROUND WATER BASIN</t>
  </si>
  <si>
    <t>WASHOE COUNTY</t>
  </si>
  <si>
    <t xml:space="preserve">NORTH LAKE TAHOE FIRE PROTECTION </t>
  </si>
  <si>
    <t>TRUCKEE MEADOWS FIRE PROTECTION</t>
  </si>
  <si>
    <t>TOTAL WASHOE COUNTY</t>
  </si>
  <si>
    <t xml:space="preserve">THE COUNTY OF WHITE PINE </t>
  </si>
  <si>
    <t>WHITE PINE COUNTY</t>
  </si>
  <si>
    <t>WHITE PINE HOSPITAL DISTRICT</t>
  </si>
  <si>
    <t xml:space="preserve">ENTERPRISE DISTRICTS </t>
  </si>
  <si>
    <t>THE COUNTY OF HUMBOLDT</t>
  </si>
  <si>
    <t>CTX  REVENUE</t>
  </si>
  <si>
    <t>MONTHLY</t>
  </si>
  <si>
    <t>ALLOCATION</t>
  </si>
  <si>
    <t>THE COUNTY OF NYE</t>
  </si>
  <si>
    <t>(A)</t>
  </si>
  <si>
    <t>PERCENTAGE ADJUSTMENT</t>
  </si>
  <si>
    <t>ADJUSTED CARSON CITY</t>
  </si>
  <si>
    <t>ADJUSTMENT</t>
  </si>
  <si>
    <t>ADJUSTED CHURCHILL</t>
  </si>
  <si>
    <t>ADJUSTED DOUGLAS COUNTY</t>
  </si>
  <si>
    <t>ADJUSTED ELKO COUNTY</t>
  </si>
  <si>
    <t>ADJUSTED ESMERALDA COUNTY</t>
  </si>
  <si>
    <t>ADJUSTED EUREKA COUNTY</t>
  </si>
  <si>
    <t>ADJUSTED HUMBOLDT COUNTY</t>
  </si>
  <si>
    <t>ADJUSTED LANDER COUNTY</t>
  </si>
  <si>
    <t>ADJUSTED LINCOLN</t>
  </si>
  <si>
    <t>ADJUSTED LYON COUNTY</t>
  </si>
  <si>
    <t>ADJUSTED MINERAL</t>
  </si>
  <si>
    <t>ADJUSTED NYE COUNTY</t>
  </si>
  <si>
    <t>ADJUSTED PERSHING COUNTY</t>
  </si>
  <si>
    <t>ADJUSTED STOREY COUNTY</t>
  </si>
  <si>
    <t>ADJUSTED WASHOE COUNTY</t>
  </si>
  <si>
    <t>ADJUSTED WHITE PINE COUNTY</t>
  </si>
  <si>
    <t>FORMULA</t>
  </si>
  <si>
    <t xml:space="preserve">ENTERPRISE DISTRICT </t>
  </si>
  <si>
    <t>ENTERPRISE DISTRICT</t>
  </si>
  <si>
    <t xml:space="preserve">AMARGOSA LIBRARY </t>
  </si>
  <si>
    <t>BEATTY LIBRARY</t>
  </si>
  <si>
    <t>TONOPAH LIBRARY</t>
  </si>
  <si>
    <t>TOTAL WHITE PINE COUNTY</t>
  </si>
  <si>
    <t>PAHRUMP COMM HOSP</t>
  </si>
  <si>
    <t>(14)</t>
  </si>
  <si>
    <t>(15)</t>
  </si>
  <si>
    <t>(16)</t>
  </si>
  <si>
    <t>(17)</t>
  </si>
  <si>
    <t>ADJUSTED</t>
  </si>
  <si>
    <t>AVERAGE</t>
  </si>
  <si>
    <t>(18)</t>
  </si>
  <si>
    <t>(19)</t>
  </si>
  <si>
    <t>CERTIFIED</t>
  </si>
  <si>
    <t>COUNTY</t>
  </si>
  <si>
    <t>CPI USED=</t>
  </si>
  <si>
    <t xml:space="preserve">CALCULATION </t>
  </si>
  <si>
    <t>NOTES - CONSOLIDATED TAX DISTRIBUTION</t>
  </si>
  <si>
    <t xml:space="preserve">ADMINISTRATIVE SERVICES DIVISION </t>
  </si>
  <si>
    <t>CONSOLIDATED TAX DISTRIBUTION</t>
  </si>
  <si>
    <t xml:space="preserve">BCCRT - Basic City County Relief Tax </t>
  </si>
  <si>
    <t>RPTT - Real Property Transfer Tax</t>
  </si>
  <si>
    <t>.0050  =  .5%</t>
  </si>
  <si>
    <t>.1425  = 14.25%</t>
  </si>
  <si>
    <t xml:space="preserve">  </t>
  </si>
  <si>
    <t>MODIFIED</t>
  </si>
  <si>
    <t>OR SHORTFALL</t>
  </si>
  <si>
    <t xml:space="preserve">     Key:</t>
  </si>
  <si>
    <t>Unless indicated the percentage display:</t>
  </si>
  <si>
    <t>Please contact the Administrative Services Division, Distributions and Statistics if you have any questions regarding the Consolidated Tax Distribution Program.</t>
  </si>
  <si>
    <t>SCCRT - Supplemental City County Relief Tax</t>
  </si>
  <si>
    <t>FY 99/00</t>
  </si>
  <si>
    <t>INCLUDES</t>
  </si>
  <si>
    <t>REDEVELOPMENT</t>
  </si>
  <si>
    <t>ROUNDING</t>
  </si>
  <si>
    <t>Please remember that local governments are to use these projections as a guide and should take into account local economic conditions when preparing the budget.</t>
  </si>
  <si>
    <t>FY 00/01</t>
  </si>
  <si>
    <t>JULY 99 -</t>
  </si>
  <si>
    <t>JULY 00 -</t>
  </si>
  <si>
    <t>FY 01/02</t>
  </si>
  <si>
    <t>CENSUS</t>
  </si>
  <si>
    <t>JULY 95 -</t>
  </si>
  <si>
    <t>JULY 96 -</t>
  </si>
  <si>
    <t>JULY 97 -</t>
  </si>
  <si>
    <t>JULY 98 -</t>
  </si>
  <si>
    <t>ACTUAL/EST</t>
  </si>
  <si>
    <t xml:space="preserve">PERCENT </t>
  </si>
  <si>
    <t>3 YEARS</t>
  </si>
  <si>
    <t>NEGATIVE?</t>
  </si>
  <si>
    <t>5 YEAR</t>
  </si>
  <si>
    <t>1 PLUS</t>
  </si>
  <si>
    <t xml:space="preserve">THE COUNTY OF CLARK </t>
  </si>
  <si>
    <t>CPI=</t>
  </si>
  <si>
    <t>total w/out enterprise</t>
  </si>
  <si>
    <t>NO</t>
  </si>
  <si>
    <t>(2)</t>
  </si>
  <si>
    <t>(3)</t>
  </si>
  <si>
    <t>% CHANGE</t>
  </si>
  <si>
    <t>PROJECTED</t>
  </si>
  <si>
    <t>IN-STATE</t>
  </si>
  <si>
    <t>DISTRIBUTIONS</t>
  </si>
  <si>
    <t>GENERAL FUND</t>
  </si>
  <si>
    <t>|</t>
  </si>
  <si>
    <t>(20)</t>
  </si>
  <si>
    <t>(21)</t>
  </si>
  <si>
    <t xml:space="preserve">  RURAL GUARANTEE DISTRIBUTION</t>
  </si>
  <si>
    <t xml:space="preserve">     POINT-OF-ORIGIN DISTRIBUTION</t>
  </si>
  <si>
    <t>\P</t>
  </si>
  <si>
    <t>/PPOBCA1..A37~~RB1..AH12~Q</t>
  </si>
  <si>
    <t>SUM OF</t>
  </si>
  <si>
    <t>CHANGE IN</t>
  </si>
  <si>
    <t>ACTUAL AMT</t>
  </si>
  <si>
    <t>DIFFERENCE</t>
  </si>
  <si>
    <t>RB14..F45~AGP</t>
  </si>
  <si>
    <t>COLLECTIONS</t>
  </si>
  <si>
    <t>COLLECTED</t>
  </si>
  <si>
    <t>ESTIMATED</t>
  </si>
  <si>
    <t>RG14..O35~AGP</t>
  </si>
  <si>
    <t>IN</t>
  </si>
  <si>
    <t>FOR MOST</t>
  </si>
  <si>
    <t>GUARANTEED</t>
  </si>
  <si>
    <t>POINT-OF-ORIGIN</t>
  </si>
  <si>
    <t>RP14..Z38~AGPQ</t>
  </si>
  <si>
    <t>CHANGE IN SCCRT</t>
  </si>
  <si>
    <t xml:space="preserve">FOR </t>
  </si>
  <si>
    <t>RECENT 12</t>
  </si>
  <si>
    <t>TO</t>
  </si>
  <si>
    <t>APPLICABLE</t>
  </si>
  <si>
    <t>OF ENTITY</t>
  </si>
  <si>
    <t>AVAILABLE FOR</t>
  </si>
  <si>
    <t>CPI</t>
  </si>
  <si>
    <t>AND CPI</t>
  </si>
  <si>
    <t>STATEWIDE</t>
  </si>
  <si>
    <t>MONTHS</t>
  </si>
  <si>
    <t>\Q</t>
  </si>
  <si>
    <t>/PPOB~AB14..AB238~Q</t>
  </si>
  <si>
    <t>RAC56..AI86~AG</t>
  </si>
  <si>
    <t>RAC88..AI114~AG</t>
  </si>
  <si>
    <t>RAC116..AI138~AG</t>
  </si>
  <si>
    <t>RAC139..AI166~AG</t>
  </si>
  <si>
    <t>RAC167..AI195~AG</t>
  </si>
  <si>
    <t>RAC220..AI230~AGQ</t>
  </si>
  <si>
    <t>TOTAL IN-STATE</t>
  </si>
  <si>
    <t>OUT-OF-STATE</t>
  </si>
  <si>
    <t>SOUTH LYON HOSPITAL</t>
  </si>
  <si>
    <t>POPULATION TO</t>
  </si>
  <si>
    <t xml:space="preserve">REVENUE </t>
  </si>
  <si>
    <t>BY COUNTY</t>
  </si>
  <si>
    <t>STATE</t>
  </si>
  <si>
    <t>STATE TOTAL</t>
  </si>
  <si>
    <t>STATEWIDE TOTAL</t>
  </si>
  <si>
    <t>EST</t>
  </si>
  <si>
    <t xml:space="preserve">     % CHANGE</t>
  </si>
  <si>
    <t>REAL</t>
  </si>
  <si>
    <t>PROPERTY</t>
  </si>
  <si>
    <t>TRANSFER TAX</t>
  </si>
  <si>
    <t>LESS:</t>
  </si>
  <si>
    <t xml:space="preserve">TOTAL </t>
  </si>
  <si>
    <t xml:space="preserve">AMOUNT </t>
  </si>
  <si>
    <t xml:space="preserve">PROJECTED </t>
  </si>
  <si>
    <t>ALLOCATED TO</t>
  </si>
  <si>
    <t>SCHOOLS</t>
  </si>
  <si>
    <t>JULY 01 -</t>
  </si>
  <si>
    <t>FY 02/03</t>
  </si>
  <si>
    <t>FY 98  :   FY 03</t>
  </si>
  <si>
    <t>SCCRT IN-STATE</t>
  </si>
  <si>
    <t>(2) x (8)</t>
  </si>
  <si>
    <t>(2) x (12)</t>
  </si>
  <si>
    <t>NOTE:THE POPULATION FOR GLENDALE HAS BEEN ADDED TO CLARK COUNTY DUE TO ABSORPTION</t>
  </si>
  <si>
    <t>NOTE: THE ASSESSED VALUE OF GLENDALE HAS BEEN ADDED TO CLARK COUNTY DUE TO ABSORPTION</t>
  </si>
  <si>
    <t>GLENDALE**</t>
  </si>
  <si>
    <t>CLARK COUNTY**</t>
  </si>
  <si>
    <t>HENDERSON***</t>
  </si>
  <si>
    <t>*** Henderson's base was increased by $4,000,000 due to legislation</t>
  </si>
  <si>
    <t xml:space="preserve">**Glendale's base has been added to Clark County due to absorption </t>
  </si>
  <si>
    <t xml:space="preserve">PERCENTAGE </t>
  </si>
  <si>
    <t xml:space="preserve">OF </t>
  </si>
  <si>
    <t>White Pine County's distribution reflects an alternate formula created by an interlocal agreement,  between all entities within the county, as allowed by NRS 360.730.</t>
  </si>
  <si>
    <t>JULY 02 -</t>
  </si>
  <si>
    <t>FY 03/04</t>
  </si>
  <si>
    <t>GST - Government Services Tax</t>
  </si>
  <si>
    <t>GST</t>
  </si>
  <si>
    <t>JULY 03 -</t>
  </si>
  <si>
    <t>FY 04/05</t>
  </si>
  <si>
    <t>(775) 684-2024</t>
  </si>
  <si>
    <t>PROJECTION DOES NOT INCLUDE 10¢ LOW-INCOME HOUSING ALLOCATION, STATE GENERAL FUND PORTION OR LOCAL ADMINISTRATIVE FEES</t>
  </si>
  <si>
    <t>JULY 04 -</t>
  </si>
  <si>
    <t>FY 05/06</t>
  </si>
  <si>
    <t>JULY 05 -</t>
  </si>
  <si>
    <t>FY 06/07</t>
  </si>
  <si>
    <t>JULY 06 -</t>
  </si>
  <si>
    <t>FY 07/08</t>
  </si>
  <si>
    <t>INCREASE/</t>
  </si>
  <si>
    <t>DECREASE</t>
  </si>
  <si>
    <t>JULY 07 -</t>
  </si>
  <si>
    <t>FY 08/09</t>
  </si>
  <si>
    <t>JULY 08 -</t>
  </si>
  <si>
    <t>FY 09/10</t>
  </si>
  <si>
    <t>NOTE:  SIERRA FOREST FIRE WAS WHOLLY ABSORBED BY EAST FORK FIRE DISTRICT EFFECTIVE 7/1/2008.</t>
  </si>
  <si>
    <t>JULY 09 -</t>
  </si>
  <si>
    <t>FY 10/11</t>
  </si>
  <si>
    <t>JULY 10 -</t>
  </si>
  <si>
    <t>FY 11/12</t>
  </si>
  <si>
    <t>FY 2012-13</t>
  </si>
  <si>
    <t>2012-13</t>
  </si>
  <si>
    <t>JULY 11 -</t>
  </si>
  <si>
    <t>FY 12/13</t>
  </si>
  <si>
    <t>FY 2013-14</t>
  </si>
  <si>
    <t>2013-14</t>
  </si>
  <si>
    <t>JULY 12 -</t>
  </si>
  <si>
    <t>FY 13/14</t>
  </si>
  <si>
    <t>0.02 PLUS</t>
  </si>
  <si>
    <t>ALL ZEROS</t>
  </si>
  <si>
    <t>ALL ZEROES</t>
  </si>
  <si>
    <t>CPI Calculation</t>
  </si>
  <si>
    <t>5 year average</t>
  </si>
  <si>
    <t>All Urban Consumers - (CPI-U) All Items</t>
  </si>
  <si>
    <t>*Use average % change year over year from http://www.bls.gov/cpi/#tables</t>
  </si>
  <si>
    <t>FY 2014-15</t>
  </si>
  <si>
    <t>2014-15</t>
  </si>
  <si>
    <t>JULY 13 -</t>
  </si>
  <si>
    <t>FY 14/15</t>
  </si>
  <si>
    <t>FY 11  :   FY 15</t>
  </si>
  <si>
    <t>"Modified" distribution, column (4), is present when the anticipated revenues from the consolidated taxes are less than the base distribution.  In these cases, all revenues received will be distributed based on the percentages in column (3).  Each local government will receive at least the year to date base distribution before any excess distributions are added.</t>
  </si>
  <si>
    <t xml:space="preserve">Base monthly allocation is determined by dividing column (2) by 12.  Given additional revenue is available, staff will calculate the excess distribution and add that result to the base monthly allocation.  </t>
  </si>
  <si>
    <t>FY 15</t>
  </si>
  <si>
    <t>Washoe County's distribution reflects an alternate formula created by an interlocal agreement,  between Palomino Valley GID and Truckee Meadows Fire Protection, as allowed by NRS 360.730.</t>
  </si>
  <si>
    <t>Interlocal Agreement</t>
  </si>
  <si>
    <t>Please refer to 'NOTES' page (D-43) for information and assumptions.</t>
  </si>
  <si>
    <t>SIERRA FIRE PROT DIST</t>
  </si>
  <si>
    <t>2014-15 ESTIMATED SCCRT DISTRIBUTION</t>
  </si>
  <si>
    <t>BASE MONTHLY</t>
  </si>
  <si>
    <t>JULY 14-</t>
  </si>
  <si>
    <t>FY15/16</t>
  </si>
  <si>
    <t>PERCENT</t>
  </si>
  <si>
    <t>FY 15/16</t>
  </si>
  <si>
    <t>JULY 2014</t>
  </si>
  <si>
    <t>FY 2015-16</t>
  </si>
  <si>
    <t>2015-16</t>
  </si>
  <si>
    <t>2013-14 SCCRT DISTRIBUTION</t>
  </si>
  <si>
    <t>2015-16 ESTIMATED SCCRT DISTRIBUTION</t>
  </si>
  <si>
    <t>FY 13</t>
  </si>
  <si>
    <t xml:space="preserve"> to FY 14</t>
  </si>
  <si>
    <t>Sales and use taxes have been estimated using several sources available to staff, such as in-state SCCRT collections by county, taxable sales by county and sales and use tax activity trends for the first six months of the fiscal year compared to activity during the second six months of the fiscal year.  Staff has utilized data pertaining to the first six months of fiscal year 2014-15.</t>
  </si>
  <si>
    <t>Column (2) is an estimate of the FY 2014-15 total distribution from the fund. In accordance with NRS 360.680, the base allocation for FY 2015-16 depends on the actual distribution for FY 2014-15.  This amount will be available after the final FY 2014-15 distribution is made in August 2015.</t>
  </si>
  <si>
    <t>Michael Pelham</t>
  </si>
  <si>
    <t>FY 15-16</t>
  </si>
  <si>
    <t>% OF FY 16</t>
  </si>
  <si>
    <t xml:space="preserve">(CALCULATED ON MARCH 15, 2015)     </t>
  </si>
  <si>
    <t>FY 16</t>
  </si>
  <si>
    <t>(REVISED MARCH 27,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</si>
</sst>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000_);_(* \(#,##0.0000\);_(* &quot;-&quot;??_);_(@_)"/>
    <numFmt numFmtId="167" formatCode="_(* #,##0_);_(* \(#,##0\);_(* &quot;-&quot;??_);_(@_)"/>
    <numFmt numFmtId="168" formatCode="0.00000000"/>
    <numFmt numFmtId="169" formatCode="0.000000"/>
    <numFmt numFmtId="170" formatCode="0.00000"/>
    <numFmt numFmtId="171" formatCode="_(* #,##0.0000_);_(* \(#,##0.0000\);_(* &quot;-&quot;????_);_(@_)"/>
    <numFmt numFmtId="172" formatCode="#,##0.000000_);\(#,##0.000000\)"/>
    <numFmt numFmtId="173" formatCode="#,##0.0000_);\(#,##0.0000\)"/>
    <numFmt numFmtId="174" formatCode="0.0000_)"/>
    <numFmt numFmtId="175" formatCode="0_);\(0\)"/>
    <numFmt numFmtId="176" formatCode="0.0000_);\(0.0000\)"/>
    <numFmt numFmtId="177" formatCode="0.0000%"/>
    <numFmt numFmtId="179" formatCode="_(&quot;$&quot;* #,##0_);_(&quot;$&quot;* \(#,##0\);_(&quot;$&quot;* &quot;-&quot;??_);_(@_)"/>
    <numFmt numFmtId="180" formatCode="0_)"/>
    <numFmt numFmtId="181" formatCode="mmmm\ d\,\ yyyy"/>
    <numFmt numFmtId="182" formatCode="0.0000_);[Red]\(0.0000\)"/>
    <numFmt numFmtId="183" formatCode="0.0%"/>
  </numFmts>
  <fonts count="47" x14ac:knownFonts="1">
    <font>
      <sz val="10"/>
      <name val="Arial"/>
    </font>
    <font>
      <b/>
      <sz val="10"/>
      <name val="Arial"/>
      <family val="2"/>
    </font>
    <font>
      <sz val="10"/>
      <name val="Arial"/>
      <family val="2"/>
    </font>
    <font>
      <sz val="8"/>
      <name val="Arial"/>
      <family val="2"/>
    </font>
    <font>
      <u/>
      <sz val="8"/>
      <name val="Arial"/>
      <family val="2"/>
    </font>
    <font>
      <b/>
      <sz val="8"/>
      <name val="Arial"/>
      <family val="2"/>
    </font>
    <font>
      <b/>
      <u/>
      <sz val="8"/>
      <name val="Arial"/>
      <family val="2"/>
    </font>
    <font>
      <sz val="9"/>
      <name val="Times New Roman"/>
      <family val="1"/>
    </font>
    <font>
      <b/>
      <sz val="9"/>
      <name val="Times New Roman"/>
      <family val="1"/>
    </font>
    <font>
      <b/>
      <u/>
      <sz val="9"/>
      <name val="Times New Roman"/>
      <family val="1"/>
    </font>
    <font>
      <u/>
      <sz val="9"/>
      <name val="Times New Roman"/>
      <family val="1"/>
    </font>
    <font>
      <b/>
      <i/>
      <sz val="9"/>
      <name val="Times New Roman"/>
      <family val="1"/>
    </font>
    <font>
      <sz val="10"/>
      <name val="Times New Roman"/>
      <family val="1"/>
    </font>
    <font>
      <b/>
      <sz val="10"/>
      <name val="Times New Roman"/>
      <family val="1"/>
    </font>
    <font>
      <b/>
      <u/>
      <sz val="10"/>
      <name val="Times New Roman"/>
      <family val="1"/>
    </font>
    <font>
      <u/>
      <sz val="10"/>
      <name val="Times New Roman"/>
      <family val="1"/>
    </font>
    <font>
      <u val="singleAccounting"/>
      <sz val="10"/>
      <name val="Times New Roman"/>
      <family val="1"/>
    </font>
    <font>
      <b/>
      <u val="singleAccounting"/>
      <sz val="10"/>
      <name val="Times New Roman"/>
      <family val="1"/>
    </font>
    <font>
      <b/>
      <i/>
      <sz val="10"/>
      <name val="Times New Roman"/>
      <family val="1"/>
    </font>
    <font>
      <i/>
      <sz val="10"/>
      <name val="Times New Roman"/>
      <family val="1"/>
    </font>
    <font>
      <u val="singleAccounting"/>
      <sz val="9"/>
      <name val="Times New Roman"/>
      <family val="1"/>
    </font>
    <font>
      <u val="singleAccounting"/>
      <sz val="10"/>
      <name val="Arial"/>
      <family val="2"/>
    </font>
    <font>
      <sz val="10"/>
      <name val="Arial"/>
      <family val="2"/>
    </font>
    <font>
      <u/>
      <sz val="10"/>
      <name val="Arial"/>
      <family val="2"/>
    </font>
    <font>
      <b/>
      <sz val="10"/>
      <name val="Arial"/>
      <family val="2"/>
    </font>
    <font>
      <b/>
      <u/>
      <sz val="10"/>
      <name val="Arial"/>
      <family val="2"/>
    </font>
    <font>
      <b/>
      <u val="singleAccounting"/>
      <sz val="10"/>
      <name val="Arial"/>
      <family val="2"/>
    </font>
    <font>
      <b/>
      <sz val="18"/>
      <name val="Arial"/>
      <family val="2"/>
    </font>
    <font>
      <b/>
      <sz val="20"/>
      <name val="Arial"/>
      <family val="2"/>
    </font>
    <font>
      <b/>
      <sz val="17"/>
      <name val="Arial"/>
      <family val="2"/>
    </font>
    <font>
      <b/>
      <sz val="12"/>
      <name val="Times New Roman"/>
      <family val="1"/>
    </font>
    <font>
      <sz val="10"/>
      <color indexed="10"/>
      <name val="Arial"/>
      <family val="2"/>
    </font>
    <font>
      <sz val="8"/>
      <color indexed="81"/>
      <name val="Tahoma"/>
      <family val="2"/>
    </font>
    <font>
      <b/>
      <sz val="8"/>
      <color indexed="81"/>
      <name val="Tahoma"/>
      <family val="2"/>
    </font>
    <font>
      <b/>
      <u val="singleAccounting"/>
      <sz val="9"/>
      <name val="Times New Roman"/>
      <family val="1"/>
    </font>
    <font>
      <sz val="8"/>
      <color indexed="10"/>
      <name val="Arial"/>
      <family val="2"/>
    </font>
    <font>
      <u/>
      <sz val="8"/>
      <color indexed="10"/>
      <name val="Arial"/>
      <family val="2"/>
    </font>
    <font>
      <sz val="9"/>
      <name val="Arial"/>
      <family val="2"/>
    </font>
    <font>
      <sz val="10"/>
      <color indexed="12"/>
      <name val="Arial"/>
      <family val="2"/>
    </font>
    <font>
      <u val="singleAccounting"/>
      <sz val="10"/>
      <color indexed="12"/>
      <name val="Arial"/>
      <family val="2"/>
    </font>
    <font>
      <b/>
      <sz val="10"/>
      <color indexed="12"/>
      <name val="Arial"/>
      <family val="2"/>
    </font>
    <font>
      <sz val="8"/>
      <name val="Arial"/>
      <family val="2"/>
    </font>
    <font>
      <sz val="10"/>
      <name val="Arial"/>
      <family val="2"/>
    </font>
    <font>
      <b/>
      <sz val="14"/>
      <name val="Arial"/>
      <family val="2"/>
    </font>
    <font>
      <b/>
      <sz val="11"/>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12">
    <border>
      <left/>
      <right/>
      <top/>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cellStyleXfs>
  <cellXfs count="388">
    <xf numFmtId="0" fontId="0" fillId="0" borderId="0" xfId="0"/>
    <xf numFmtId="166" fontId="3" fillId="0" borderId="0" xfId="1" applyNumberFormat="1" applyFont="1" applyBorder="1"/>
    <xf numFmtId="0" fontId="3" fillId="0" borderId="0" xfId="0" applyFont="1" applyBorder="1" applyAlignment="1">
      <alignment horizontal="left"/>
    </xf>
    <xf numFmtId="0" fontId="3" fillId="0" borderId="0" xfId="0" applyFont="1" applyBorder="1"/>
    <xf numFmtId="14" fontId="3" fillId="0" borderId="0" xfId="0" quotePrefix="1" applyNumberFormat="1" applyFont="1" applyBorder="1" applyAlignment="1">
      <alignment horizontal="left"/>
    </xf>
    <xf numFmtId="167" fontId="3" fillId="0" borderId="0" xfId="1" applyNumberFormat="1" applyFont="1" applyBorder="1"/>
    <xf numFmtId="0" fontId="3" fillId="0" borderId="0" xfId="0" quotePrefix="1" applyFont="1" applyBorder="1" applyAlignment="1">
      <alignment horizontal="left"/>
    </xf>
    <xf numFmtId="0" fontId="3" fillId="0" borderId="0" xfId="0" applyFont="1" applyBorder="1" applyAlignment="1">
      <alignment horizontal="center"/>
    </xf>
    <xf numFmtId="167" fontId="3" fillId="0" borderId="0" xfId="1" quotePrefix="1" applyNumberFormat="1" applyFont="1" applyBorder="1" applyAlignment="1">
      <alignment horizontal="center"/>
    </xf>
    <xf numFmtId="167" fontId="3" fillId="0" borderId="0" xfId="1" applyNumberFormat="1" applyFont="1" applyBorder="1" applyAlignment="1">
      <alignment horizontal="center"/>
    </xf>
    <xf numFmtId="0" fontId="4" fillId="0" borderId="0" xfId="0" applyFont="1" applyBorder="1" applyAlignment="1">
      <alignment horizontal="center"/>
    </xf>
    <xf numFmtId="167" fontId="4" fillId="0" borderId="0" xfId="1" applyNumberFormat="1" applyFont="1" applyBorder="1" applyAlignment="1">
      <alignment horizontal="center"/>
    </xf>
    <xf numFmtId="167" fontId="3" fillId="0" borderId="0" xfId="1" applyNumberFormat="1" applyFont="1" applyBorder="1" applyProtection="1"/>
    <xf numFmtId="37" fontId="3" fillId="0" borderId="0" xfId="0" applyNumberFormat="1" applyFont="1" applyBorder="1" applyProtection="1"/>
    <xf numFmtId="167" fontId="5" fillId="0" borderId="0" xfId="1" applyNumberFormat="1" applyFont="1" applyBorder="1" applyAlignment="1">
      <alignment horizontal="fill"/>
    </xf>
    <xf numFmtId="0" fontId="5" fillId="0" borderId="0" xfId="0" applyFont="1" applyBorder="1" applyAlignment="1">
      <alignment horizontal="fill"/>
    </xf>
    <xf numFmtId="0" fontId="0" fillId="0" borderId="0" xfId="0" applyBorder="1"/>
    <xf numFmtId="0" fontId="6" fillId="0" borderId="0" xfId="0" applyFont="1" applyFill="1" applyBorder="1" applyAlignment="1">
      <alignment horizontal="center"/>
    </xf>
    <xf numFmtId="0" fontId="1" fillId="0" borderId="0" xfId="0" applyFont="1" applyFill="1" applyBorder="1"/>
    <xf numFmtId="0" fontId="5" fillId="0" borderId="0" xfId="0" applyFont="1" applyFill="1" applyAlignment="1">
      <alignment horizontal="center"/>
    </xf>
    <xf numFmtId="0" fontId="5" fillId="0" borderId="0" xfId="0" applyFont="1" applyAlignment="1">
      <alignment horizontal="center"/>
    </xf>
    <xf numFmtId="0" fontId="7" fillId="0" borderId="0" xfId="0" applyFont="1"/>
    <xf numFmtId="0" fontId="8" fillId="0" borderId="0" xfId="0" applyFont="1"/>
    <xf numFmtId="0" fontId="10" fillId="0" borderId="0" xfId="0" applyFont="1" applyAlignment="1">
      <alignment horizontal="center"/>
    </xf>
    <xf numFmtId="0" fontId="7" fillId="0" borderId="0" xfId="0" applyFont="1" applyAlignment="1">
      <alignment horizontal="centerContinuous"/>
    </xf>
    <xf numFmtId="43" fontId="7" fillId="0" borderId="0" xfId="1" applyFont="1"/>
    <xf numFmtId="0" fontId="7" fillId="0" borderId="0" xfId="0" applyFont="1" applyAlignment="1">
      <alignment horizontal="left"/>
    </xf>
    <xf numFmtId="43" fontId="7" fillId="0" borderId="0" xfId="0" applyNumberFormat="1" applyFont="1"/>
    <xf numFmtId="172" fontId="7" fillId="0" borderId="0" xfId="0" applyNumberFormat="1" applyFont="1" applyAlignment="1">
      <alignment horizontal="right"/>
    </xf>
    <xf numFmtId="169" fontId="7" fillId="0" borderId="0" xfId="0" applyNumberFormat="1" applyFont="1"/>
    <xf numFmtId="164" fontId="7" fillId="0" borderId="0" xfId="0" applyNumberFormat="1" applyFont="1"/>
    <xf numFmtId="166" fontId="7" fillId="0" borderId="0" xfId="1" applyNumberFormat="1" applyFont="1"/>
    <xf numFmtId="0" fontId="9" fillId="0" borderId="0" xfId="0" applyFont="1"/>
    <xf numFmtId="43" fontId="7" fillId="0" borderId="1" xfId="1" applyFont="1" applyBorder="1"/>
    <xf numFmtId="166" fontId="7" fillId="0" borderId="1" xfId="1" applyNumberFormat="1" applyFont="1" applyBorder="1"/>
    <xf numFmtId="43" fontId="7" fillId="0" borderId="1" xfId="0" applyNumberFormat="1" applyFont="1" applyBorder="1"/>
    <xf numFmtId="0" fontId="7" fillId="0" borderId="0" xfId="0" applyFont="1" applyAlignment="1">
      <alignment horizontal="right"/>
    </xf>
    <xf numFmtId="0" fontId="11" fillId="0" borderId="0" xfId="0" applyFont="1"/>
    <xf numFmtId="0" fontId="12" fillId="0" borderId="0" xfId="0" applyFont="1"/>
    <xf numFmtId="0" fontId="13" fillId="0" borderId="0" xfId="0" applyFont="1"/>
    <xf numFmtId="0" fontId="13" fillId="0" borderId="0" xfId="0" quotePrefix="1" applyFont="1" applyAlignment="1">
      <alignment horizontal="center"/>
    </xf>
    <xf numFmtId="0" fontId="13" fillId="0" borderId="0" xfId="0" applyFont="1" applyAlignment="1">
      <alignment horizontal="center"/>
    </xf>
    <xf numFmtId="0" fontId="13" fillId="0" borderId="0" xfId="0" applyFont="1" applyAlignment="1">
      <alignment horizontal="centerContinuous"/>
    </xf>
    <xf numFmtId="43" fontId="13" fillId="0" borderId="0" xfId="1" applyFont="1" applyAlignment="1">
      <alignment horizontal="center"/>
    </xf>
    <xf numFmtId="0" fontId="14" fillId="0" borderId="0" xfId="0" applyFont="1" applyAlignment="1">
      <alignment horizontal="center"/>
    </xf>
    <xf numFmtId="43" fontId="14" fillId="0" borderId="0" xfId="1" applyFont="1" applyAlignment="1">
      <alignment horizontal="center"/>
    </xf>
    <xf numFmtId="0" fontId="15" fillId="0" borderId="0" xfId="0" applyFont="1" applyAlignment="1">
      <alignment horizontal="center"/>
    </xf>
    <xf numFmtId="0" fontId="12" fillId="0" borderId="0" xfId="0" applyFont="1" applyAlignment="1">
      <alignment horizontal="centerContinuous"/>
    </xf>
    <xf numFmtId="43" fontId="12" fillId="0" borderId="0" xfId="1" applyFont="1"/>
    <xf numFmtId="0" fontId="12" fillId="0" borderId="0" xfId="0" applyFont="1" applyAlignment="1">
      <alignment horizontal="left"/>
    </xf>
    <xf numFmtId="43" fontId="12" fillId="0" borderId="0" xfId="0" applyNumberFormat="1" applyFont="1"/>
    <xf numFmtId="0" fontId="12" fillId="0" borderId="0" xfId="0" applyFont="1" applyAlignment="1">
      <alignment horizontal="center"/>
    </xf>
    <xf numFmtId="43" fontId="13" fillId="0" borderId="0" xfId="0" applyNumberFormat="1" applyFont="1"/>
    <xf numFmtId="166" fontId="12" fillId="0" borderId="0" xfId="0" applyNumberFormat="1" applyFont="1"/>
    <xf numFmtId="172" fontId="12" fillId="0" borderId="0" xfId="0" applyNumberFormat="1" applyFont="1" applyAlignment="1">
      <alignment horizontal="right"/>
    </xf>
    <xf numFmtId="169" fontId="12" fillId="0" borderId="0" xfId="0" applyNumberFormat="1" applyFont="1"/>
    <xf numFmtId="164" fontId="12" fillId="0" borderId="0" xfId="0" applyNumberFormat="1" applyFont="1"/>
    <xf numFmtId="170" fontId="12" fillId="0" borderId="0" xfId="0" applyNumberFormat="1" applyFont="1"/>
    <xf numFmtId="43" fontId="16" fillId="0" borderId="0" xfId="1" applyFont="1"/>
    <xf numFmtId="43" fontId="16" fillId="0" borderId="0" xfId="0" applyNumberFormat="1" applyFont="1"/>
    <xf numFmtId="43" fontId="17" fillId="0" borderId="0" xfId="0" applyNumberFormat="1" applyFont="1"/>
    <xf numFmtId="166" fontId="12" fillId="0" borderId="0" xfId="1" applyNumberFormat="1" applyFont="1"/>
    <xf numFmtId="2" fontId="12" fillId="0" borderId="0" xfId="1" applyNumberFormat="1" applyFont="1"/>
    <xf numFmtId="2" fontId="13" fillId="0" borderId="0" xfId="0" applyNumberFormat="1" applyFont="1"/>
    <xf numFmtId="0" fontId="14" fillId="0" borderId="0" xfId="0" applyFont="1"/>
    <xf numFmtId="43" fontId="12" fillId="0" borderId="1" xfId="1" applyFont="1" applyBorder="1"/>
    <xf numFmtId="0" fontId="12" fillId="0" borderId="0" xfId="0" applyFont="1" applyBorder="1"/>
    <xf numFmtId="166" fontId="12" fillId="0" borderId="1" xfId="1" applyNumberFormat="1" applyFont="1" applyBorder="1"/>
    <xf numFmtId="43" fontId="12" fillId="0" borderId="1" xfId="0" applyNumberFormat="1" applyFont="1" applyBorder="1"/>
    <xf numFmtId="164" fontId="12" fillId="0" borderId="0" xfId="1" applyNumberFormat="1" applyFont="1" applyBorder="1"/>
    <xf numFmtId="43" fontId="13" fillId="0" borderId="1" xfId="1" applyFont="1" applyBorder="1"/>
    <xf numFmtId="0" fontId="12" fillId="0" borderId="0" xfId="0" applyFont="1" applyAlignment="1">
      <alignment horizontal="right"/>
    </xf>
    <xf numFmtId="166" fontId="12" fillId="0" borderId="0" xfId="1" applyNumberFormat="1" applyFont="1" applyBorder="1"/>
    <xf numFmtId="43" fontId="12" fillId="0" borderId="0" xfId="1" applyFont="1" applyBorder="1"/>
    <xf numFmtId="43" fontId="13" fillId="0" borderId="0" xfId="1" applyFont="1" applyBorder="1"/>
    <xf numFmtId="4" fontId="12" fillId="0" borderId="0" xfId="0" applyNumberFormat="1" applyFont="1"/>
    <xf numFmtId="164" fontId="15" fillId="0" borderId="0" xfId="0" applyNumberFormat="1" applyFont="1"/>
    <xf numFmtId="0" fontId="12" fillId="0" borderId="1" xfId="0" applyFont="1" applyBorder="1"/>
    <xf numFmtId="164" fontId="12" fillId="0" borderId="1" xfId="0" applyNumberFormat="1" applyFont="1" applyBorder="1"/>
    <xf numFmtId="164" fontId="12" fillId="0" borderId="1" xfId="1" applyNumberFormat="1" applyFont="1" applyBorder="1"/>
    <xf numFmtId="0" fontId="18" fillId="0" borderId="0" xfId="0" applyFont="1"/>
    <xf numFmtId="164" fontId="13" fillId="0" borderId="0" xfId="0" applyNumberFormat="1" applyFont="1" applyFill="1" applyBorder="1"/>
    <xf numFmtId="164" fontId="16" fillId="0" borderId="0" xfId="0" applyNumberFormat="1" applyFont="1"/>
    <xf numFmtId="43" fontId="16" fillId="0" borderId="0" xfId="0" applyNumberFormat="1" applyFont="1" applyBorder="1"/>
    <xf numFmtId="166" fontId="12" fillId="0" borderId="1" xfId="0" applyNumberFormat="1" applyFont="1" applyBorder="1"/>
    <xf numFmtId="43" fontId="12" fillId="0" borderId="1" xfId="1" applyNumberFormat="1" applyFont="1" applyBorder="1"/>
    <xf numFmtId="43" fontId="12" fillId="0" borderId="0" xfId="1" applyFont="1" applyAlignment="1">
      <alignment horizontal="center"/>
    </xf>
    <xf numFmtId="43" fontId="12" fillId="0" borderId="0" xfId="1" applyNumberFormat="1" applyFont="1"/>
    <xf numFmtId="166" fontId="16" fillId="0" borderId="0" xfId="1" applyNumberFormat="1" applyFont="1"/>
    <xf numFmtId="43" fontId="13" fillId="0" borderId="1" xfId="1" applyNumberFormat="1" applyFont="1" applyBorder="1"/>
    <xf numFmtId="168" fontId="12" fillId="0" borderId="0" xfId="0" applyNumberFormat="1" applyFont="1"/>
    <xf numFmtId="0" fontId="19" fillId="0" borderId="0" xfId="0" applyFont="1"/>
    <xf numFmtId="0" fontId="19" fillId="0" borderId="0" xfId="0" applyFont="1" applyAlignment="1">
      <alignment horizontal="center"/>
    </xf>
    <xf numFmtId="173" fontId="12" fillId="0" borderId="0" xfId="0" applyNumberFormat="1" applyFont="1" applyAlignment="1">
      <alignment horizontal="right"/>
    </xf>
    <xf numFmtId="4" fontId="12" fillId="0" borderId="1" xfId="1" applyNumberFormat="1" applyFont="1" applyBorder="1"/>
    <xf numFmtId="43" fontId="16" fillId="0" borderId="0" xfId="1" applyNumberFormat="1" applyFont="1"/>
    <xf numFmtId="166" fontId="16" fillId="0" borderId="0" xfId="0" applyNumberFormat="1" applyFont="1"/>
    <xf numFmtId="43" fontId="20" fillId="0" borderId="0" xfId="1" applyFont="1"/>
    <xf numFmtId="164" fontId="20" fillId="0" borderId="0" xfId="0" applyNumberFormat="1" applyFont="1"/>
    <xf numFmtId="166" fontId="20" fillId="0" borderId="0" xfId="1" applyNumberFormat="1" applyFont="1"/>
    <xf numFmtId="43" fontId="13" fillId="0" borderId="1" xfId="0" applyNumberFormat="1" applyFont="1" applyBorder="1"/>
    <xf numFmtId="43" fontId="8" fillId="0" borderId="0" xfId="0" applyNumberFormat="1" applyFont="1"/>
    <xf numFmtId="43" fontId="8" fillId="0" borderId="1" xfId="1" applyFont="1" applyBorder="1"/>
    <xf numFmtId="0" fontId="22" fillId="0" borderId="0" xfId="0" applyFont="1"/>
    <xf numFmtId="0" fontId="22" fillId="0" borderId="0" xfId="0" applyFont="1" applyAlignment="1">
      <alignment horizontal="center"/>
    </xf>
    <xf numFmtId="0" fontId="23" fillId="0" borderId="0" xfId="0" applyFont="1" applyAlignment="1">
      <alignment horizontal="center"/>
    </xf>
    <xf numFmtId="167" fontId="22" fillId="0" borderId="0" xfId="1" applyNumberFormat="1" applyFont="1"/>
    <xf numFmtId="0" fontId="22" fillId="0" borderId="0" xfId="0" applyFont="1" applyBorder="1"/>
    <xf numFmtId="0" fontId="24" fillId="0" borderId="0" xfId="0" applyFont="1" applyAlignment="1">
      <alignment horizontal="center"/>
    </xf>
    <xf numFmtId="167" fontId="22" fillId="0" borderId="1" xfId="0" applyNumberFormat="1" applyFont="1" applyBorder="1"/>
    <xf numFmtId="164" fontId="22" fillId="0" borderId="0" xfId="0" applyNumberFormat="1" applyFont="1"/>
    <xf numFmtId="0" fontId="24" fillId="0" borderId="0" xfId="0" applyFont="1"/>
    <xf numFmtId="0" fontId="25" fillId="0" borderId="0" xfId="0" applyFont="1" applyAlignment="1">
      <alignment horizontal="center"/>
    </xf>
    <xf numFmtId="167" fontId="24" fillId="0" borderId="0" xfId="0" applyNumberFormat="1" applyFont="1"/>
    <xf numFmtId="167" fontId="21" fillId="0" borderId="0" xfId="1" applyNumberFormat="1" applyFont="1"/>
    <xf numFmtId="167" fontId="26" fillId="0" borderId="0" xfId="0" applyNumberFormat="1" applyFont="1"/>
    <xf numFmtId="167" fontId="22" fillId="0" borderId="1" xfId="1" applyNumberFormat="1" applyFont="1" applyBorder="1"/>
    <xf numFmtId="167" fontId="22" fillId="0" borderId="0" xfId="0" applyNumberFormat="1" applyFont="1"/>
    <xf numFmtId="3" fontId="3" fillId="0" borderId="0" xfId="1" applyNumberFormat="1" applyFont="1" applyBorder="1"/>
    <xf numFmtId="8" fontId="13" fillId="0" borderId="0" xfId="0" applyNumberFormat="1" applyFont="1" applyAlignment="1">
      <alignment horizontal="center"/>
    </xf>
    <xf numFmtId="167" fontId="22" fillId="0" borderId="0" xfId="0" applyNumberFormat="1" applyFont="1" applyBorder="1"/>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164" fontId="12" fillId="0" borderId="0" xfId="0" applyNumberFormat="1" applyFont="1" applyAlignment="1">
      <alignment horizontal="center"/>
    </xf>
    <xf numFmtId="171" fontId="16" fillId="0" borderId="0" xfId="0" applyNumberFormat="1" applyFont="1"/>
    <xf numFmtId="171" fontId="16" fillId="0" borderId="0" xfId="0" applyNumberFormat="1" applyFont="1" applyAlignment="1">
      <alignment horizontal="right"/>
    </xf>
    <xf numFmtId="171" fontId="12" fillId="0" borderId="0" xfId="0" applyNumberFormat="1" applyFont="1"/>
    <xf numFmtId="164" fontId="12" fillId="0" borderId="0" xfId="0" applyNumberFormat="1" applyFont="1" applyBorder="1"/>
    <xf numFmtId="0" fontId="12" fillId="0" borderId="0" xfId="0" applyFont="1" applyAlignment="1">
      <alignment wrapText="1"/>
    </xf>
    <xf numFmtId="43" fontId="12" fillId="0" borderId="0" xfId="0" applyNumberFormat="1" applyFont="1" applyAlignment="1">
      <alignment vertical="top"/>
    </xf>
    <xf numFmtId="171" fontId="20" fillId="0" borderId="0" xfId="0" applyNumberFormat="1" applyFont="1"/>
    <xf numFmtId="171" fontId="7" fillId="0" borderId="0" xfId="0" applyNumberFormat="1" applyFont="1"/>
    <xf numFmtId="43" fontId="20" fillId="0" borderId="0" xfId="0" applyNumberFormat="1" applyFont="1"/>
    <xf numFmtId="43" fontId="34" fillId="0" borderId="0" xfId="0" applyNumberFormat="1" applyFont="1"/>
    <xf numFmtId="0" fontId="31" fillId="0" borderId="0" xfId="0" applyFont="1"/>
    <xf numFmtId="0" fontId="35" fillId="0" borderId="0" xfId="0" applyFont="1" applyBorder="1" applyAlignment="1">
      <alignment horizontal="center"/>
    </xf>
    <xf numFmtId="0" fontId="36" fillId="0" borderId="0" xfId="0" applyFont="1" applyBorder="1" applyAlignment="1">
      <alignment horizontal="center"/>
    </xf>
    <xf numFmtId="182" fontId="3" fillId="0" borderId="0" xfId="1" applyNumberFormat="1" applyFont="1" applyBorder="1"/>
    <xf numFmtId="37" fontId="3" fillId="0" borderId="0" xfId="0" applyNumberFormat="1" applyFont="1" applyBorder="1"/>
    <xf numFmtId="9" fontId="13" fillId="0" borderId="0" xfId="1" applyNumberFormat="1" applyFont="1" applyAlignment="1">
      <alignment horizontal="center"/>
    </xf>
    <xf numFmtId="0" fontId="25" fillId="0" borderId="0" xfId="0" applyFont="1" applyBorder="1" applyAlignment="1">
      <alignment horizontal="center"/>
    </xf>
    <xf numFmtId="166" fontId="12" fillId="0" borderId="0" xfId="0" applyNumberFormat="1" applyFont="1" applyFill="1"/>
    <xf numFmtId="166" fontId="16" fillId="0" borderId="0" xfId="0" applyNumberFormat="1" applyFont="1" applyFill="1"/>
    <xf numFmtId="0" fontId="3" fillId="0" borderId="0" xfId="0" applyFont="1" applyFill="1" applyBorder="1" applyAlignment="1">
      <alignment horizontal="center"/>
    </xf>
    <xf numFmtId="164" fontId="0" fillId="0" borderId="0" xfId="0" applyNumberFormat="1"/>
    <xf numFmtId="0" fontId="22" fillId="0" borderId="0" xfId="0" quotePrefix="1" applyFont="1" applyAlignment="1">
      <alignment horizontal="center"/>
    </xf>
    <xf numFmtId="0" fontId="23" fillId="0" borderId="0" xfId="0" quotePrefix="1" applyFont="1" applyAlignment="1">
      <alignment horizontal="center"/>
    </xf>
    <xf numFmtId="37" fontId="22" fillId="0" borderId="0" xfId="0" applyNumberFormat="1" applyFont="1" applyProtection="1"/>
    <xf numFmtId="166" fontId="22" fillId="0" borderId="0" xfId="1" applyNumberFormat="1" applyFont="1" applyProtection="1"/>
    <xf numFmtId="167" fontId="22" fillId="0" borderId="0" xfId="1" applyNumberFormat="1" applyFont="1" applyProtection="1"/>
    <xf numFmtId="176" fontId="22" fillId="0" borderId="0" xfId="1" applyNumberFormat="1" applyFont="1" applyProtection="1"/>
    <xf numFmtId="0" fontId="22" fillId="0" borderId="0" xfId="0" applyFont="1" applyAlignment="1">
      <alignment horizontal="left"/>
    </xf>
    <xf numFmtId="167" fontId="22" fillId="0" borderId="0" xfId="1" applyNumberFormat="1" applyFont="1" applyBorder="1" applyProtection="1"/>
    <xf numFmtId="166" fontId="22" fillId="0" borderId="0" xfId="1" applyNumberFormat="1" applyFont="1" applyBorder="1" applyAlignment="1" applyProtection="1">
      <alignment horizontal="center"/>
    </xf>
    <xf numFmtId="43" fontId="22" fillId="0" borderId="0" xfId="1" applyFont="1" applyAlignment="1">
      <alignment horizontal="left"/>
    </xf>
    <xf numFmtId="167" fontId="22" fillId="0" borderId="0" xfId="1" applyNumberFormat="1" applyFont="1" applyBorder="1"/>
    <xf numFmtId="167" fontId="22" fillId="0" borderId="0" xfId="1" applyNumberFormat="1" applyFont="1" applyAlignment="1" applyProtection="1">
      <alignment horizontal="center"/>
    </xf>
    <xf numFmtId="165" fontId="22" fillId="0" borderId="0" xfId="1" applyNumberFormat="1" applyFont="1"/>
    <xf numFmtId="0" fontId="37" fillId="0" borderId="0" xfId="0" applyFont="1"/>
    <xf numFmtId="0" fontId="22" fillId="0" borderId="0" xfId="0" quotePrefix="1" applyFont="1" applyAlignment="1">
      <alignment horizontal="left"/>
    </xf>
    <xf numFmtId="0" fontId="22" fillId="0" borderId="0" xfId="0" applyFont="1" applyFill="1"/>
    <xf numFmtId="39" fontId="22" fillId="0" borderId="0" xfId="0" applyNumberFormat="1" applyFont="1"/>
    <xf numFmtId="39" fontId="22" fillId="0" borderId="0" xfId="0" applyNumberFormat="1" applyFont="1" applyFill="1"/>
    <xf numFmtId="175" fontId="22" fillId="0" borderId="0" xfId="0" applyNumberFormat="1" applyFont="1"/>
    <xf numFmtId="0" fontId="3" fillId="0" borderId="0" xfId="0" applyFont="1" applyAlignment="1">
      <alignment horizontal="centerContinuous"/>
    </xf>
    <xf numFmtId="0" fontId="22" fillId="0" borderId="0" xfId="0" applyFont="1" applyAlignment="1">
      <alignment horizontal="centerContinuous"/>
    </xf>
    <xf numFmtId="10" fontId="22" fillId="0" borderId="0" xfId="0" applyNumberFormat="1" applyFont="1" applyProtection="1"/>
    <xf numFmtId="37" fontId="31" fillId="0" borderId="0" xfId="0" applyNumberFormat="1" applyFont="1" applyProtection="1"/>
    <xf numFmtId="167" fontId="31" fillId="0" borderId="0" xfId="1" applyNumberFormat="1" applyFont="1" applyProtection="1"/>
    <xf numFmtId="177" fontId="22" fillId="0" borderId="0" xfId="0" applyNumberFormat="1" applyFont="1" applyProtection="1"/>
    <xf numFmtId="174" fontId="22" fillId="0" borderId="0" xfId="0" applyNumberFormat="1" applyFont="1" applyProtection="1"/>
    <xf numFmtId="37" fontId="22" fillId="0" borderId="4" xfId="0" applyNumberFormat="1" applyFont="1" applyBorder="1" applyProtection="1"/>
    <xf numFmtId="174" fontId="22" fillId="0" borderId="0" xfId="0" applyNumberFormat="1" applyFont="1" applyBorder="1" applyProtection="1"/>
    <xf numFmtId="37" fontId="22" fillId="0" borderId="0" xfId="0" applyNumberFormat="1" applyFont="1" applyBorder="1" applyProtection="1"/>
    <xf numFmtId="167" fontId="22" fillId="0" borderId="4" xfId="1" applyNumberFormat="1" applyFont="1" applyBorder="1" applyProtection="1"/>
    <xf numFmtId="10" fontId="22" fillId="0" borderId="0" xfId="0" applyNumberFormat="1" applyFont="1" applyBorder="1" applyProtection="1"/>
    <xf numFmtId="0" fontId="22" fillId="0" borderId="4" xfId="0" applyFont="1" applyBorder="1" applyAlignment="1">
      <alignment horizontal="center"/>
    </xf>
    <xf numFmtId="0" fontId="22" fillId="0" borderId="0" xfId="0" applyFont="1" applyBorder="1" applyAlignment="1">
      <alignment horizontal="center"/>
    </xf>
    <xf numFmtId="37" fontId="22" fillId="0" borderId="1" xfId="0" applyNumberFormat="1" applyFont="1" applyBorder="1" applyProtection="1"/>
    <xf numFmtId="167" fontId="22" fillId="0" borderId="1" xfId="1" applyNumberFormat="1" applyFont="1" applyBorder="1" applyProtection="1"/>
    <xf numFmtId="167" fontId="22" fillId="0" borderId="1" xfId="1" applyNumberFormat="1" applyFont="1" applyBorder="1" applyAlignment="1">
      <alignment horizontal="center"/>
    </xf>
    <xf numFmtId="177" fontId="22" fillId="0" borderId="1" xfId="0" applyNumberFormat="1" applyFont="1" applyBorder="1" applyProtection="1"/>
    <xf numFmtId="167" fontId="22" fillId="0" borderId="0" xfId="1" applyNumberFormat="1" applyFont="1" applyAlignment="1">
      <alignment horizontal="center"/>
    </xf>
    <xf numFmtId="179" fontId="22" fillId="0" borderId="0" xfId="2" applyNumberFormat="1" applyFont="1" applyProtection="1"/>
    <xf numFmtId="166" fontId="22" fillId="0" borderId="1" xfId="1" applyNumberFormat="1" applyFont="1" applyBorder="1" applyProtection="1"/>
    <xf numFmtId="37" fontId="22" fillId="0" borderId="0" xfId="0" applyNumberFormat="1" applyFont="1" applyFill="1" applyBorder="1" applyAlignment="1"/>
    <xf numFmtId="164" fontId="22" fillId="0" borderId="0" xfId="0" quotePrefix="1" applyNumberFormat="1" applyFont="1"/>
    <xf numFmtId="0" fontId="22" fillId="0" borderId="0" xfId="0" applyFont="1" applyFill="1" applyBorder="1" applyAlignment="1"/>
    <xf numFmtId="167" fontId="22" fillId="0" borderId="0" xfId="1" applyNumberFormat="1" applyFont="1" applyFill="1" applyBorder="1" applyAlignment="1" applyProtection="1"/>
    <xf numFmtId="167" fontId="22" fillId="0" borderId="0" xfId="1" applyNumberFormat="1" applyFont="1" applyFill="1" applyBorder="1" applyAlignment="1"/>
    <xf numFmtId="37" fontId="22" fillId="0" borderId="0" xfId="0" applyNumberFormat="1" applyFont="1" applyFill="1" applyBorder="1" applyAlignment="1" applyProtection="1"/>
    <xf numFmtId="180" fontId="22" fillId="0" borderId="0" xfId="0" applyNumberFormat="1" applyFont="1" applyProtection="1"/>
    <xf numFmtId="0" fontId="22" fillId="0" borderId="0" xfId="0" applyFont="1" applyFill="1" applyAlignment="1">
      <alignment horizontal="centerContinuous"/>
    </xf>
    <xf numFmtId="167" fontId="22" fillId="0" borderId="0" xfId="1" applyNumberFormat="1" applyFont="1" applyFill="1"/>
    <xf numFmtId="181" fontId="22" fillId="0" borderId="0" xfId="0" applyNumberFormat="1" applyFont="1" applyFill="1" applyAlignment="1">
      <alignment horizontal="right"/>
    </xf>
    <xf numFmtId="0" fontId="22" fillId="0" borderId="0" xfId="0" applyNumberFormat="1" applyFont="1" applyFill="1"/>
    <xf numFmtId="0" fontId="22" fillId="0" borderId="0" xfId="0" applyFont="1" applyFill="1" applyAlignment="1">
      <alignment horizontal="center"/>
    </xf>
    <xf numFmtId="167" fontId="22" fillId="0" borderId="0" xfId="1" applyNumberFormat="1" applyFont="1" applyFill="1" applyAlignment="1">
      <alignment horizontal="center"/>
    </xf>
    <xf numFmtId="0" fontId="23" fillId="0" borderId="0" xfId="0" applyFont="1" applyFill="1"/>
    <xf numFmtId="0" fontId="23" fillId="0" borderId="0" xfId="0" applyFont="1" applyFill="1" applyAlignment="1">
      <alignment horizontal="center"/>
    </xf>
    <xf numFmtId="167" fontId="23" fillId="0" borderId="0" xfId="1" applyNumberFormat="1" applyFont="1" applyFill="1" applyAlignment="1">
      <alignment horizontal="center"/>
    </xf>
    <xf numFmtId="167" fontId="38" fillId="0" borderId="0" xfId="1" applyNumberFormat="1" applyFont="1" applyFill="1"/>
    <xf numFmtId="166" fontId="22" fillId="0" borderId="0" xfId="1" applyNumberFormat="1" applyFont="1" applyFill="1" applyProtection="1"/>
    <xf numFmtId="166" fontId="21" fillId="0" borderId="0" xfId="1" applyNumberFormat="1" applyFont="1" applyFill="1" applyProtection="1"/>
    <xf numFmtId="167" fontId="21" fillId="0" borderId="0" xfId="1" applyNumberFormat="1" applyFont="1" applyFill="1"/>
    <xf numFmtId="10" fontId="22" fillId="0" borderId="0" xfId="0" applyNumberFormat="1" applyFont="1" applyFill="1" applyProtection="1"/>
    <xf numFmtId="167" fontId="22" fillId="0" borderId="1" xfId="0" applyNumberFormat="1" applyFont="1" applyFill="1" applyBorder="1"/>
    <xf numFmtId="166" fontId="22" fillId="0" borderId="1" xfId="1" applyNumberFormat="1" applyFont="1" applyFill="1" applyBorder="1"/>
    <xf numFmtId="167" fontId="22" fillId="0" borderId="1" xfId="1" applyNumberFormat="1" applyFont="1" applyFill="1" applyBorder="1"/>
    <xf numFmtId="0" fontId="22" fillId="0" borderId="5" xfId="0" applyFont="1" applyFill="1" applyBorder="1"/>
    <xf numFmtId="167" fontId="22" fillId="0" borderId="6" xfId="1" applyNumberFormat="1" applyFont="1" applyFill="1" applyBorder="1"/>
    <xf numFmtId="0" fontId="22" fillId="0" borderId="6" xfId="0" applyFont="1" applyFill="1" applyBorder="1"/>
    <xf numFmtId="0" fontId="22" fillId="0" borderId="7" xfId="0" applyFont="1" applyFill="1" applyBorder="1"/>
    <xf numFmtId="0" fontId="22" fillId="0" borderId="8" xfId="0" applyFont="1" applyFill="1" applyBorder="1"/>
    <xf numFmtId="167" fontId="24" fillId="0" borderId="0" xfId="1" applyNumberFormat="1" applyFont="1" applyFill="1" applyBorder="1"/>
    <xf numFmtId="0" fontId="22" fillId="0" borderId="0" xfId="0" applyFont="1" applyFill="1" applyBorder="1"/>
    <xf numFmtId="0" fontId="22" fillId="0" borderId="9" xfId="0" applyFont="1" applyFill="1" applyBorder="1"/>
    <xf numFmtId="0" fontId="22" fillId="0" borderId="0" xfId="0" applyFont="1" applyFill="1" applyBorder="1" applyAlignment="1">
      <alignment horizontal="center"/>
    </xf>
    <xf numFmtId="0" fontId="22" fillId="0" borderId="9" xfId="0" applyFont="1" applyFill="1" applyBorder="1" applyAlignment="1">
      <alignment horizontal="center"/>
    </xf>
    <xf numFmtId="0" fontId="23" fillId="0" borderId="9" xfId="0" applyFont="1" applyFill="1" applyBorder="1" applyAlignment="1">
      <alignment horizontal="center"/>
    </xf>
    <xf numFmtId="0" fontId="25" fillId="0" borderId="8" xfId="0" applyFont="1" applyFill="1" applyBorder="1"/>
    <xf numFmtId="3" fontId="22" fillId="0" borderId="9" xfId="0" applyNumberFormat="1" applyFont="1" applyFill="1" applyBorder="1"/>
    <xf numFmtId="0" fontId="22" fillId="0" borderId="10" xfId="0" applyFont="1" applyFill="1" applyBorder="1"/>
    <xf numFmtId="167" fontId="22" fillId="0" borderId="4" xfId="1" applyNumberFormat="1" applyFont="1" applyFill="1" applyBorder="1"/>
    <xf numFmtId="0" fontId="22" fillId="0" borderId="4" xfId="0" applyFont="1" applyFill="1" applyBorder="1"/>
    <xf numFmtId="0" fontId="22" fillId="0" borderId="11" xfId="0" applyFont="1" applyFill="1" applyBorder="1"/>
    <xf numFmtId="0" fontId="37" fillId="0" borderId="0" xfId="0" applyFont="1" applyFill="1"/>
    <xf numFmtId="167" fontId="2" fillId="0" borderId="0" xfId="1" applyNumberFormat="1"/>
    <xf numFmtId="166" fontId="2" fillId="0" borderId="0" xfId="1" applyNumberFormat="1"/>
    <xf numFmtId="43" fontId="2" fillId="0" borderId="0" xfId="1"/>
    <xf numFmtId="167" fontId="2" fillId="0" borderId="1" xfId="1" applyNumberFormat="1" applyBorder="1"/>
    <xf numFmtId="166" fontId="2" fillId="0" borderId="1" xfId="1" applyNumberFormat="1" applyBorder="1"/>
    <xf numFmtId="0" fontId="37" fillId="0" borderId="0" xfId="0" quotePrefix="1" applyFont="1"/>
    <xf numFmtId="3" fontId="22" fillId="0" borderId="0" xfId="0" applyNumberFormat="1" applyFont="1" applyFill="1" applyBorder="1"/>
    <xf numFmtId="49" fontId="22" fillId="0" borderId="0" xfId="0" applyNumberFormat="1" applyFont="1" applyAlignment="1">
      <alignment horizontal="center"/>
    </xf>
    <xf numFmtId="167" fontId="3" fillId="0" borderId="0" xfId="1" applyNumberFormat="1" applyFont="1" applyFill="1" applyBorder="1"/>
    <xf numFmtId="0" fontId="12" fillId="0" borderId="0" xfId="0" applyFont="1" applyAlignment="1">
      <alignment horizontal="left" vertical="top"/>
    </xf>
    <xf numFmtId="0" fontId="40" fillId="0" borderId="0" xfId="0" applyFont="1" applyFill="1" applyAlignment="1">
      <alignment horizontal="left"/>
    </xf>
    <xf numFmtId="166" fontId="12" fillId="0" borderId="1" xfId="0" applyNumberFormat="1" applyFont="1" applyFill="1" applyBorder="1"/>
    <xf numFmtId="0" fontId="7" fillId="0" borderId="0" xfId="0" applyFont="1" applyFill="1"/>
    <xf numFmtId="0" fontId="3" fillId="0" borderId="0" xfId="0" applyFont="1" applyFill="1" applyBorder="1"/>
    <xf numFmtId="0" fontId="3" fillId="0" borderId="0" xfId="0" applyFont="1" applyFill="1" applyBorder="1" applyAlignment="1">
      <alignment horizontal="left"/>
    </xf>
    <xf numFmtId="43" fontId="2" fillId="0" borderId="0" xfId="2" applyNumberFormat="1" applyFill="1" applyBorder="1"/>
    <xf numFmtId="167" fontId="3" fillId="0" borderId="0" xfId="1" applyNumberFormat="1" applyFont="1" applyFill="1" applyBorder="1" applyAlignment="1">
      <alignment horizontal="center"/>
    </xf>
    <xf numFmtId="167" fontId="3" fillId="0" borderId="0" xfId="1" quotePrefix="1" applyNumberFormat="1" applyFont="1" applyFill="1" applyBorder="1" applyAlignment="1">
      <alignment horizontal="center"/>
    </xf>
    <xf numFmtId="167" fontId="4" fillId="0" borderId="0" xfId="1" applyNumberFormat="1" applyFont="1" applyFill="1" applyBorder="1" applyAlignment="1">
      <alignment horizontal="center"/>
    </xf>
    <xf numFmtId="0" fontId="12" fillId="0" borderId="0" xfId="0" applyFont="1" applyFill="1" applyAlignment="1">
      <alignment horizontal="justify" vertical="top" wrapText="1"/>
    </xf>
    <xf numFmtId="0" fontId="12" fillId="0" borderId="0" xfId="0" applyFont="1" applyFill="1"/>
    <xf numFmtId="167" fontId="22" fillId="0" borderId="0" xfId="1" applyNumberFormat="1" applyFont="1" applyFill="1" applyProtection="1"/>
    <xf numFmtId="43" fontId="22" fillId="0" borderId="0" xfId="1" applyFont="1" applyFill="1" applyAlignment="1">
      <alignment horizontal="left"/>
    </xf>
    <xf numFmtId="10" fontId="22" fillId="0" borderId="0" xfId="0" applyNumberFormat="1" applyFont="1" applyFill="1" applyBorder="1" applyProtection="1"/>
    <xf numFmtId="0" fontId="0" fillId="0" borderId="0" xfId="0" applyFill="1"/>
    <xf numFmtId="0" fontId="0" fillId="0" borderId="0" xfId="0" applyFill="1" applyAlignment="1">
      <alignment horizontal="center"/>
    </xf>
    <xf numFmtId="167" fontId="0" fillId="0" borderId="1" xfId="0" applyNumberFormat="1" applyFill="1" applyBorder="1"/>
    <xf numFmtId="167" fontId="0" fillId="0" borderId="0" xfId="0" applyNumberFormat="1" applyFill="1"/>
    <xf numFmtId="164" fontId="12" fillId="0" borderId="0" xfId="0" applyNumberFormat="1" applyFont="1" applyFill="1"/>
    <xf numFmtId="41" fontId="3" fillId="0" borderId="0" xfId="1" quotePrefix="1" applyNumberFormat="1" applyFont="1" applyFill="1" applyBorder="1" applyAlignment="1">
      <alignment horizontal="center"/>
    </xf>
    <xf numFmtId="41" fontId="3" fillId="0" borderId="0" xfId="1" applyNumberFormat="1" applyFont="1" applyFill="1" applyBorder="1" applyAlignment="1">
      <alignment horizontal="center"/>
    </xf>
    <xf numFmtId="41" fontId="4" fillId="0" borderId="0" xfId="1" applyNumberFormat="1" applyFont="1" applyFill="1" applyBorder="1" applyAlignment="1">
      <alignment horizontal="center"/>
    </xf>
    <xf numFmtId="41" fontId="3" fillId="0" borderId="0" xfId="1" applyNumberFormat="1" applyFont="1" applyFill="1" applyBorder="1"/>
    <xf numFmtId="41" fontId="3" fillId="0" borderId="0" xfId="0" applyNumberFormat="1" applyFont="1" applyFill="1" applyBorder="1"/>
    <xf numFmtId="3" fontId="3" fillId="0" borderId="0" xfId="1" applyNumberFormat="1" applyFont="1" applyFill="1" applyBorder="1"/>
    <xf numFmtId="3" fontId="3" fillId="0" borderId="0" xfId="1" quotePrefix="1" applyNumberFormat="1" applyFont="1" applyFill="1" applyBorder="1" applyAlignment="1">
      <alignment horizontal="center"/>
    </xf>
    <xf numFmtId="3" fontId="3" fillId="0" borderId="0" xfId="1" applyNumberFormat="1" applyFont="1" applyFill="1" applyBorder="1" applyAlignment="1">
      <alignment horizontal="center"/>
    </xf>
    <xf numFmtId="3" fontId="3" fillId="0" borderId="0" xfId="0" applyNumberFormat="1" applyFont="1" applyFill="1" applyBorder="1" applyAlignment="1">
      <alignment horizontal="center"/>
    </xf>
    <xf numFmtId="3" fontId="4" fillId="0" borderId="0" xfId="1" applyNumberFormat="1" applyFont="1" applyFill="1" applyBorder="1" applyAlignment="1">
      <alignment horizontal="center"/>
    </xf>
    <xf numFmtId="167" fontId="3" fillId="0" borderId="0" xfId="1" applyNumberFormat="1" applyFont="1" applyFill="1" applyBorder="1" applyProtection="1"/>
    <xf numFmtId="0" fontId="22" fillId="0" borderId="0" xfId="0" applyNumberFormat="1" applyFont="1" applyFill="1" applyBorder="1"/>
    <xf numFmtId="10" fontId="22" fillId="0" borderId="9" xfId="0" applyNumberFormat="1" applyFont="1" applyFill="1" applyBorder="1"/>
    <xf numFmtId="0" fontId="4" fillId="0" borderId="0" xfId="0" applyFont="1" applyFill="1" applyBorder="1" applyAlignment="1">
      <alignment horizontal="center"/>
    </xf>
    <xf numFmtId="182" fontId="3" fillId="0" borderId="0" xfId="1" applyNumberFormat="1" applyFont="1" applyFill="1" applyBorder="1"/>
    <xf numFmtId="43" fontId="22" fillId="0" borderId="0" xfId="2" applyNumberFormat="1" applyFont="1"/>
    <xf numFmtId="0" fontId="13" fillId="2" borderId="0" xfId="0" applyFont="1" applyFill="1" applyAlignment="1">
      <alignment horizontal="center"/>
    </xf>
    <xf numFmtId="0" fontId="14" fillId="2" borderId="0" xfId="0" applyFont="1" applyFill="1" applyAlignment="1">
      <alignment horizontal="center"/>
    </xf>
    <xf numFmtId="167" fontId="39" fillId="0" borderId="0" xfId="1" applyNumberFormat="1" applyFont="1" applyFill="1" applyBorder="1"/>
    <xf numFmtId="10" fontId="2" fillId="0" borderId="0" xfId="3" applyNumberFormat="1"/>
    <xf numFmtId="10" fontId="2" fillId="0" borderId="0" xfId="3" applyNumberFormat="1" applyBorder="1"/>
    <xf numFmtId="10" fontId="0" fillId="0" borderId="0" xfId="3" applyNumberFormat="1" applyFont="1"/>
    <xf numFmtId="37" fontId="22" fillId="4" borderId="0" xfId="0" applyNumberFormat="1" applyFont="1" applyFill="1" applyProtection="1"/>
    <xf numFmtId="37" fontId="22" fillId="4" borderId="4" xfId="0" applyNumberFormat="1" applyFont="1" applyFill="1" applyBorder="1" applyProtection="1"/>
    <xf numFmtId="43" fontId="22" fillId="0" borderId="0" xfId="1" applyNumberFormat="1" applyFont="1" applyProtection="1"/>
    <xf numFmtId="43" fontId="21" fillId="0" borderId="0" xfId="1" applyNumberFormat="1" applyFont="1" applyProtection="1"/>
    <xf numFmtId="167" fontId="3" fillId="3" borderId="0" xfId="1" applyNumberFormat="1" applyFont="1" applyFill="1" applyBorder="1" applyAlignment="1">
      <alignment horizontal="center"/>
    </xf>
    <xf numFmtId="0" fontId="2" fillId="0" borderId="0" xfId="0" applyFont="1" applyAlignment="1">
      <alignment horizontal="center"/>
    </xf>
    <xf numFmtId="0" fontId="2" fillId="0" borderId="0" xfId="0" quotePrefix="1" applyFont="1" applyAlignment="1">
      <alignment horizontal="center"/>
    </xf>
    <xf numFmtId="43" fontId="2" fillId="0" borderId="0" xfId="2" applyNumberFormat="1"/>
    <xf numFmtId="0" fontId="2" fillId="0" borderId="0" xfId="0" quotePrefix="1" applyFont="1" applyFill="1" applyBorder="1" applyAlignment="1"/>
    <xf numFmtId="43" fontId="2" fillId="0" borderId="0" xfId="4" applyNumberFormat="1"/>
    <xf numFmtId="49" fontId="2" fillId="0" borderId="0" xfId="0" applyNumberFormat="1" applyFont="1" applyFill="1" applyAlignment="1">
      <alignment horizontal="center"/>
    </xf>
    <xf numFmtId="0" fontId="2" fillId="0" borderId="0" xfId="0" applyFont="1" applyFill="1" applyAlignment="1">
      <alignment horizontal="center"/>
    </xf>
    <xf numFmtId="0" fontId="2" fillId="0" borderId="0" xfId="4"/>
    <xf numFmtId="0" fontId="23" fillId="0" borderId="0" xfId="4" applyFont="1" applyAlignment="1">
      <alignment horizontal="center"/>
    </xf>
    <xf numFmtId="167" fontId="21" fillId="0" borderId="0" xfId="1" applyNumberFormat="1" applyFont="1" applyFill="1"/>
    <xf numFmtId="0" fontId="2" fillId="0" borderId="0" xfId="4" applyAlignment="1">
      <alignment horizontal="center"/>
    </xf>
    <xf numFmtId="167" fontId="2" fillId="0" borderId="0" xfId="1" applyNumberFormat="1"/>
    <xf numFmtId="3" fontId="2" fillId="0" borderId="0" xfId="1" applyNumberFormat="1"/>
    <xf numFmtId="167" fontId="2" fillId="0" borderId="1" xfId="1" applyNumberFormat="1" applyBorder="1"/>
    <xf numFmtId="0" fontId="40" fillId="0" borderId="0" xfId="4" applyFont="1"/>
    <xf numFmtId="167" fontId="2" fillId="0" borderId="0" xfId="1" applyNumberFormat="1" applyFill="1"/>
    <xf numFmtId="10" fontId="2" fillId="0" borderId="0" xfId="3" applyNumberFormat="1" applyFont="1" applyAlignment="1">
      <alignment horizontal="center"/>
    </xf>
    <xf numFmtId="10" fontId="23" fillId="0" borderId="0" xfId="3" applyNumberFormat="1" applyFont="1" applyAlignment="1">
      <alignment horizontal="center"/>
    </xf>
    <xf numFmtId="10" fontId="2" fillId="0" borderId="0" xfId="3" applyNumberFormat="1"/>
    <xf numFmtId="10" fontId="2" fillId="0" borderId="0" xfId="3" applyNumberFormat="1" applyFill="1"/>
    <xf numFmtId="0" fontId="2" fillId="0" borderId="0" xfId="0" applyFont="1" applyBorder="1"/>
    <xf numFmtId="166" fontId="2" fillId="2" borderId="3" xfId="0" applyNumberFormat="1" applyFont="1" applyFill="1" applyBorder="1"/>
    <xf numFmtId="43" fontId="2" fillId="0" borderId="0" xfId="0" applyNumberFormat="1" applyFont="1" applyFill="1" applyBorder="1"/>
    <xf numFmtId="164" fontId="2" fillId="0" borderId="0" xfId="0" applyNumberFormat="1" applyFont="1"/>
    <xf numFmtId="43" fontId="2" fillId="2" borderId="3" xfId="0" applyNumberFormat="1" applyFont="1" applyFill="1" applyBorder="1"/>
    <xf numFmtId="43" fontId="2" fillId="0" borderId="0" xfId="0" applyNumberFormat="1" applyFont="1" applyBorder="1"/>
    <xf numFmtId="0" fontId="2" fillId="0" borderId="0" xfId="0" applyFont="1"/>
    <xf numFmtId="0" fontId="13" fillId="0" borderId="0" xfId="0" applyFont="1" applyFill="1" applyAlignment="1">
      <alignment horizontal="center"/>
    </xf>
    <xf numFmtId="0" fontId="14" fillId="0" borderId="0" xfId="0" applyFont="1" applyFill="1" applyAlignment="1">
      <alignment horizontal="center"/>
    </xf>
    <xf numFmtId="0" fontId="5" fillId="0" borderId="0" xfId="0" applyFont="1" applyFill="1" applyBorder="1" applyAlignment="1">
      <alignment horizontal="center"/>
    </xf>
    <xf numFmtId="43" fontId="1" fillId="0" borderId="0" xfId="0" applyNumberFormat="1" applyFont="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0" xfId="0" applyFont="1"/>
    <xf numFmtId="43" fontId="1" fillId="0" borderId="2" xfId="0" applyNumberFormat="1" applyFont="1" applyBorder="1"/>
    <xf numFmtId="43" fontId="1" fillId="0" borderId="0" xfId="0" applyNumberFormat="1" applyFont="1" applyBorder="1"/>
    <xf numFmtId="164" fontId="5" fillId="0" borderId="0" xfId="0" applyNumberFormat="1" applyFont="1" applyFill="1" applyBorder="1"/>
    <xf numFmtId="0" fontId="5" fillId="0" borderId="0" xfId="0" applyFont="1" applyFill="1" applyBorder="1"/>
    <xf numFmtId="0" fontId="5" fillId="0" borderId="0" xfId="0" applyFont="1" applyFill="1" applyBorder="1" applyAlignment="1">
      <alignment horizontal="left"/>
    </xf>
    <xf numFmtId="0" fontId="0" fillId="0" borderId="0" xfId="0"/>
    <xf numFmtId="0" fontId="0" fillId="0" borderId="0" xfId="0" applyAlignment="1">
      <alignment horizontal="center"/>
    </xf>
    <xf numFmtId="43" fontId="12" fillId="0" borderId="0" xfId="1" applyFont="1"/>
    <xf numFmtId="43" fontId="16" fillId="0" borderId="0" xfId="1" applyFont="1"/>
    <xf numFmtId="166" fontId="12" fillId="0" borderId="1" xfId="1" applyNumberFormat="1" applyFont="1" applyBorder="1"/>
    <xf numFmtId="164" fontId="12" fillId="0" borderId="1" xfId="1" applyNumberFormat="1" applyFont="1" applyBorder="1"/>
    <xf numFmtId="166" fontId="16" fillId="0" borderId="0" xfId="1" applyNumberFormat="1" applyFont="1"/>
    <xf numFmtId="43" fontId="12" fillId="0" borderId="0" xfId="4" applyNumberFormat="1" applyFont="1" applyAlignment="1">
      <alignment horizontal="left"/>
    </xf>
    <xf numFmtId="0" fontId="13" fillId="0" borderId="0" xfId="0" quotePrefix="1" applyFont="1" applyFill="1" applyAlignment="1">
      <alignment horizontal="center"/>
    </xf>
    <xf numFmtId="9" fontId="13" fillId="0" borderId="0" xfId="1" applyNumberFormat="1" applyFont="1" applyFill="1" applyAlignment="1">
      <alignment horizontal="center"/>
    </xf>
    <xf numFmtId="43" fontId="13" fillId="0" borderId="0" xfId="1" applyFont="1" applyFill="1" applyAlignment="1">
      <alignment horizontal="center"/>
    </xf>
    <xf numFmtId="43" fontId="14" fillId="0" borderId="0" xfId="1" applyFont="1" applyFill="1" applyAlignment="1">
      <alignment horizontal="center"/>
    </xf>
    <xf numFmtId="43" fontId="12" fillId="0" borderId="0" xfId="1" applyFont="1" applyFill="1"/>
    <xf numFmtId="43" fontId="12" fillId="0" borderId="0" xfId="4" applyNumberFormat="1" applyFont="1" applyFill="1" applyAlignment="1">
      <alignment horizontal="left"/>
    </xf>
    <xf numFmtId="43" fontId="12" fillId="0" borderId="0" xfId="0" applyNumberFormat="1" applyFont="1" applyFill="1"/>
    <xf numFmtId="43" fontId="12" fillId="0" borderId="1" xfId="1" applyFont="1" applyFill="1" applyBorder="1"/>
    <xf numFmtId="0" fontId="43" fillId="0" borderId="0" xfId="0" applyFont="1"/>
    <xf numFmtId="0" fontId="0" fillId="0" borderId="0" xfId="0" applyAlignment="1">
      <alignment horizontal="center" wrapText="1"/>
    </xf>
    <xf numFmtId="0" fontId="44" fillId="0" borderId="4" xfId="0" applyFont="1" applyBorder="1" applyAlignment="1">
      <alignment horizontal="center" wrapText="1"/>
    </xf>
    <xf numFmtId="183" fontId="0" fillId="0" borderId="0" xfId="3" applyNumberFormat="1" applyFont="1" applyAlignment="1">
      <alignment horizontal="center"/>
    </xf>
    <xf numFmtId="43" fontId="16" fillId="0" borderId="0" xfId="1" applyFont="1" applyFill="1"/>
    <xf numFmtId="0" fontId="2" fillId="0" borderId="0" xfId="0" applyFont="1" applyFill="1" applyBorder="1"/>
    <xf numFmtId="43" fontId="1" fillId="0" borderId="0" xfId="0" applyNumberFormat="1" applyFont="1" applyFill="1" applyBorder="1" applyAlignment="1">
      <alignment horizontal="center"/>
    </xf>
    <xf numFmtId="0" fontId="25" fillId="0" borderId="0" xfId="0" applyFont="1" applyFill="1" applyBorder="1" applyAlignment="1">
      <alignment horizontal="center"/>
    </xf>
    <xf numFmtId="43" fontId="37" fillId="0" borderId="0" xfId="0" applyNumberFormat="1" applyFont="1" applyFill="1"/>
    <xf numFmtId="43" fontId="1" fillId="0" borderId="2" xfId="0" applyNumberFormat="1" applyFont="1" applyFill="1" applyBorder="1"/>
    <xf numFmtId="43" fontId="1" fillId="0" borderId="0" xfId="0" applyNumberFormat="1" applyFont="1" applyFill="1" applyBorder="1"/>
    <xf numFmtId="167" fontId="2" fillId="0" borderId="0" xfId="1" applyNumberFormat="1" applyFont="1" applyProtection="1"/>
    <xf numFmtId="0" fontId="12" fillId="0" borderId="0" xfId="0" applyFont="1" applyAlignment="1">
      <alignment vertical="top" wrapText="1"/>
    </xf>
    <xf numFmtId="0" fontId="0" fillId="0" borderId="0" xfId="0" applyFont="1" applyFill="1"/>
    <xf numFmtId="43" fontId="2" fillId="0" borderId="0" xfId="2" applyNumberFormat="1" applyFill="1"/>
    <xf numFmtId="10" fontId="22" fillId="0" borderId="4" xfId="3" applyNumberFormat="1" applyFont="1" applyFill="1" applyBorder="1" applyProtection="1"/>
    <xf numFmtId="167" fontId="22" fillId="0" borderId="4" xfId="1" applyNumberFormat="1" applyFont="1" applyFill="1" applyBorder="1" applyProtection="1"/>
    <xf numFmtId="176" fontId="22" fillId="0" borderId="0" xfId="0" applyNumberFormat="1" applyFont="1" applyFill="1" applyBorder="1" applyProtection="1"/>
    <xf numFmtId="167" fontId="22" fillId="0" borderId="0" xfId="1" applyNumberFormat="1" applyFont="1" applyFill="1" applyBorder="1" applyProtection="1"/>
    <xf numFmtId="177" fontId="22" fillId="0" borderId="0" xfId="0" applyNumberFormat="1" applyFont="1" applyFill="1" applyProtection="1"/>
    <xf numFmtId="3" fontId="2" fillId="0" borderId="0" xfId="1" applyNumberFormat="1" applyFill="1"/>
    <xf numFmtId="43" fontId="0" fillId="0" borderId="0" xfId="0" applyNumberFormat="1"/>
    <xf numFmtId="0" fontId="1" fillId="0" borderId="0" xfId="0" applyFont="1" applyAlignment="1">
      <alignment horizontal="center"/>
    </xf>
    <xf numFmtId="183" fontId="0" fillId="0" borderId="0" xfId="3" quotePrefix="1" applyNumberFormat="1" applyFont="1" applyAlignment="1">
      <alignment horizontal="center"/>
    </xf>
    <xf numFmtId="0" fontId="22" fillId="5" borderId="0" xfId="0" applyFont="1" applyFill="1" applyAlignment="1">
      <alignment horizontal="center"/>
    </xf>
    <xf numFmtId="0" fontId="23" fillId="5" borderId="9" xfId="0" applyFont="1" applyFill="1" applyBorder="1" applyAlignment="1">
      <alignment horizontal="center"/>
    </xf>
    <xf numFmtId="0" fontId="22" fillId="5" borderId="0" xfId="0" applyNumberFormat="1" applyFont="1" applyFill="1" applyBorder="1"/>
    <xf numFmtId="3" fontId="22" fillId="5" borderId="9" xfId="0" applyNumberFormat="1" applyFont="1" applyFill="1" applyBorder="1"/>
    <xf numFmtId="10" fontId="22" fillId="5" borderId="9" xfId="0" applyNumberFormat="1" applyFont="1" applyFill="1" applyBorder="1"/>
    <xf numFmtId="10" fontId="22" fillId="5" borderId="0" xfId="3" applyNumberFormat="1" applyFont="1" applyFill="1" applyProtection="1"/>
    <xf numFmtId="0" fontId="2" fillId="0" borderId="0" xfId="0" quotePrefix="1" applyFont="1" applyFill="1" applyAlignment="1">
      <alignment horizontal="center"/>
    </xf>
    <xf numFmtId="175" fontId="22" fillId="0" borderId="0" xfId="0" applyNumberFormat="1" applyFont="1" applyFill="1"/>
    <xf numFmtId="175" fontId="22" fillId="0" borderId="0" xfId="0" applyNumberFormat="1" applyFont="1" applyFill="1" applyAlignment="1">
      <alignment horizontal="center"/>
    </xf>
    <xf numFmtId="167" fontId="2" fillId="0" borderId="0" xfId="1" applyNumberFormat="1" applyFont="1" applyFill="1" applyProtection="1"/>
    <xf numFmtId="167" fontId="2" fillId="0" borderId="4" xfId="1" applyNumberFormat="1" applyFont="1" applyFill="1" applyBorder="1" applyProtection="1"/>
    <xf numFmtId="37" fontId="22" fillId="0" borderId="0" xfId="0" applyNumberFormat="1" applyFont="1" applyFill="1" applyBorder="1" applyProtection="1"/>
    <xf numFmtId="37" fontId="22" fillId="0" borderId="0" xfId="0" applyNumberFormat="1" applyFont="1" applyFill="1" applyProtection="1"/>
    <xf numFmtId="180" fontId="22" fillId="0" borderId="0" xfId="0" applyNumberFormat="1" applyFont="1" applyFill="1" applyProtection="1"/>
    <xf numFmtId="10" fontId="22" fillId="5" borderId="4" xfId="3" applyNumberFormat="1" applyFont="1" applyFill="1" applyBorder="1" applyProtection="1"/>
    <xf numFmtId="0" fontId="22" fillId="5" borderId="0" xfId="0" applyFont="1" applyFill="1" applyAlignment="1">
      <alignment horizontal="centerContinuous"/>
    </xf>
    <xf numFmtId="10" fontId="2" fillId="5" borderId="0" xfId="3" applyNumberFormat="1" applyFill="1"/>
    <xf numFmtId="174" fontId="22" fillId="0" borderId="0" xfId="0" applyNumberFormat="1" applyFont="1" applyFill="1" applyProtection="1"/>
    <xf numFmtId="43" fontId="22" fillId="0" borderId="0" xfId="0" applyNumberFormat="1" applyFont="1"/>
    <xf numFmtId="0" fontId="0" fillId="0" borderId="0" xfId="0" applyFill="1" applyAlignment="1">
      <alignment wrapText="1"/>
    </xf>
    <xf numFmtId="0" fontId="7" fillId="0" borderId="0" xfId="0" applyFont="1" applyAlignment="1">
      <alignment horizontal="center"/>
    </xf>
    <xf numFmtId="0" fontId="12" fillId="0" borderId="0" xfId="0" applyFont="1" applyFill="1" applyAlignment="1">
      <alignment horizontal="justify" vertical="top" wrapText="1"/>
    </xf>
    <xf numFmtId="0" fontId="30" fillId="0" borderId="0" xfId="0" applyFont="1" applyAlignment="1">
      <alignment horizontal="center"/>
    </xf>
    <xf numFmtId="0" fontId="43" fillId="0" borderId="0" xfId="0" applyFont="1" applyAlignment="1">
      <alignment horizontal="center"/>
    </xf>
    <xf numFmtId="43" fontId="12" fillId="0" borderId="0" xfId="0" applyNumberFormat="1" applyFont="1" applyBorder="1"/>
  </cellXfs>
  <cellStyles count="10">
    <cellStyle name="Comma" xfId="1" builtinId="3"/>
    <cellStyle name="Comma 2" xfId="5"/>
    <cellStyle name="Comma 3" xfId="7"/>
    <cellStyle name="Currency" xfId="2" builtinId="4"/>
    <cellStyle name="Currency 2" xfId="6"/>
    <cellStyle name="Currency 3" xfId="8"/>
    <cellStyle name="Normal" xfId="0" builtinId="0"/>
    <cellStyle name="Normal 2" xfId="4"/>
    <cellStyle name="Percent" xfId="3" builtinId="5"/>
    <cellStyle name="Percent 2"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F082"/>
      <color rgb="FF9DD5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chartsheet" Target="chartsheets/sheet1.xml"/><Relationship Id="rId21" Type="http://schemas.openxmlformats.org/officeDocument/2006/relationships/worksheet" Target="worksheets/sheet20.xml"/><Relationship Id="rId34" Type="http://schemas.openxmlformats.org/officeDocument/2006/relationships/externalLink" Target="externalLinks/externalLink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sng" strike="noStrike" baseline="0">
                <a:solidFill>
                  <a:srgbClr val="000000"/>
                </a:solidFill>
                <a:latin typeface="Arial"/>
                <a:ea typeface="Arial"/>
                <a:cs typeface="Arial"/>
              </a:defRPr>
            </a:pPr>
            <a:r>
              <a:rPr lang="en-US" baseline="0"/>
              <a:t>MARCH 15</a:t>
            </a:r>
            <a:r>
              <a:rPr lang="en-US"/>
              <a:t>
 REVENUE PROJECTION FY 16</a:t>
            </a:r>
          </a:p>
        </c:rich>
      </c:tx>
      <c:layout>
        <c:manualLayout>
          <c:xMode val="edge"/>
          <c:yMode val="edge"/>
          <c:x val="0.39844617092119866"/>
          <c:y val="1.9633507853403141E-2"/>
        </c:manualLayout>
      </c:layout>
      <c:overlay val="0"/>
      <c:spPr>
        <a:noFill/>
        <a:ln w="25400">
          <a:noFill/>
        </a:ln>
      </c:spPr>
    </c:title>
    <c:autoTitleDeleted val="0"/>
    <c:plotArea>
      <c:layout>
        <c:manualLayout>
          <c:layoutTarget val="inner"/>
          <c:xMode val="edge"/>
          <c:yMode val="edge"/>
          <c:x val="0.38512758941184616"/>
          <c:y val="0.55235285751001117"/>
          <c:w val="9.4339622641509441E-2"/>
          <c:h val="0.11125654450261781"/>
        </c:manualLayout>
      </c:layout>
      <c:pieChart>
        <c:varyColors val="1"/>
        <c:ser>
          <c:idx val="0"/>
          <c:order val="0"/>
          <c:spPr>
            <a:solidFill>
              <a:srgbClr val="8080FF"/>
            </a:solidFill>
            <a:ln w="12700">
              <a:solidFill>
                <a:schemeClr val="accent1"/>
              </a:solidFill>
              <a:prstDash val="solid"/>
            </a:ln>
          </c:spPr>
          <c:explosion val="25"/>
          <c:dPt>
            <c:idx val="0"/>
            <c:bubble3D val="0"/>
            <c:spPr>
              <a:solidFill>
                <a:srgbClr val="A0E0E0"/>
              </a:solidFill>
              <a:ln w="12700">
                <a:solidFill>
                  <a:schemeClr val="accent1"/>
                </a:solidFill>
                <a:prstDash val="solid"/>
              </a:ln>
            </c:spPr>
          </c:dPt>
          <c:dPt>
            <c:idx val="1"/>
            <c:bubble3D val="0"/>
            <c:explosion val="21"/>
            <c:spPr>
              <a:ln>
                <a:solidFill>
                  <a:schemeClr val="accent1"/>
                </a:solidFill>
              </a:ln>
            </c:spPr>
          </c:dPt>
          <c:dPt>
            <c:idx val="2"/>
            <c:bubble3D val="0"/>
            <c:spPr>
              <a:solidFill>
                <a:srgbClr val="E3E3E3"/>
              </a:solidFill>
              <a:ln w="12700">
                <a:solidFill>
                  <a:schemeClr val="accent1"/>
                </a:solidFill>
                <a:prstDash val="solid"/>
              </a:ln>
            </c:spPr>
          </c:dPt>
          <c:dPt>
            <c:idx val="3"/>
            <c:bubble3D val="0"/>
            <c:spPr>
              <a:solidFill>
                <a:srgbClr val="A0E0E0"/>
              </a:solidFill>
              <a:ln w="12700">
                <a:solidFill>
                  <a:schemeClr val="accent1"/>
                </a:solidFill>
                <a:prstDash val="solid"/>
              </a:ln>
            </c:spPr>
          </c:dPt>
          <c:dPt>
            <c:idx val="4"/>
            <c:bubble3D val="0"/>
            <c:spPr>
              <a:solidFill>
                <a:srgbClr val="A6CAF0"/>
              </a:solidFill>
              <a:ln w="12700">
                <a:solidFill>
                  <a:schemeClr val="accent1"/>
                </a:solidFill>
                <a:prstDash val="solid"/>
              </a:ln>
            </c:spPr>
          </c:dPt>
          <c:dPt>
            <c:idx val="5"/>
            <c:bubble3D val="0"/>
            <c:spPr>
              <a:solidFill>
                <a:srgbClr val="FFFFC0"/>
              </a:solidFill>
              <a:ln w="12700">
                <a:solidFill>
                  <a:schemeClr val="accent1"/>
                </a:solidFill>
                <a:prstDash val="solid"/>
              </a:ln>
            </c:spPr>
          </c:dPt>
          <c:dLbls>
            <c:dLbl>
              <c:idx val="1"/>
              <c:layout>
                <c:manualLayout>
                  <c:x val="6.7997592901701223E-2"/>
                  <c:y val="-8.1324715523525826E-3"/>
                </c:manualLayout>
              </c:layout>
              <c:dLblPos val="bestFit"/>
              <c:showLegendKey val="0"/>
              <c:showVal val="0"/>
              <c:showCatName val="1"/>
              <c:showSerName val="0"/>
              <c:showPercent val="1"/>
              <c:showBubbleSize val="0"/>
            </c:dLbl>
            <c:dLbl>
              <c:idx val="2"/>
              <c:layout>
                <c:manualLayout>
                  <c:x val="-1.9304608048670246E-2"/>
                  <c:y val="3.2503362015160381E-2"/>
                </c:manualLayout>
              </c:layout>
              <c:dLblPos val="bestFit"/>
              <c:showLegendKey val="0"/>
              <c:showVal val="0"/>
              <c:showCatName val="1"/>
              <c:showSerName val="0"/>
              <c:showPercent val="1"/>
              <c:showBubbleSize val="0"/>
            </c:dLbl>
            <c:dLbl>
              <c:idx val="3"/>
              <c:layout>
                <c:manualLayout>
                  <c:x val="-8.8579312898503463E-3"/>
                  <c:y val="-2.8111040922235144E-3"/>
                </c:manualLayout>
              </c:layout>
              <c:dLblPos val="bestFit"/>
              <c:showLegendKey val="0"/>
              <c:showVal val="0"/>
              <c:showCatName val="1"/>
              <c:showSerName val="0"/>
              <c:showPercent val="1"/>
              <c:showBubbleSize val="0"/>
            </c:dLbl>
            <c:numFmt formatCode="0.0%" sourceLinked="0"/>
            <c:spPr>
              <a:noFill/>
              <a:ln w="25400">
                <a:noFill/>
              </a:ln>
            </c:spPr>
            <c:txPr>
              <a:bodyPr/>
              <a:lstStyle/>
              <a:p>
                <a:pPr>
                  <a:defRPr sz="11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'REV SUMMARY'!$B$4:$G$4</c:f>
              <c:strCache>
                <c:ptCount val="6"/>
                <c:pt idx="0">
                  <c:v>BCCRT</c:v>
                </c:pt>
                <c:pt idx="1">
                  <c:v>SCCRT</c:v>
                </c:pt>
                <c:pt idx="2">
                  <c:v>CIGARETTE</c:v>
                </c:pt>
                <c:pt idx="3">
                  <c:v>LIQUOR</c:v>
                </c:pt>
                <c:pt idx="4">
                  <c:v>RPTT</c:v>
                </c:pt>
                <c:pt idx="5">
                  <c:v>GST</c:v>
                </c:pt>
              </c:strCache>
            </c:strRef>
          </c:cat>
          <c:val>
            <c:numRef>
              <c:f>'REV SUMMARY'!$B$24:$G$24</c:f>
              <c:numCache>
                <c:formatCode>_(* #,##0_);_(* \(#,##0\);_(* "-"??_);_(@_)</c:formatCode>
                <c:ptCount val="6"/>
                <c:pt idx="0">
                  <c:v>248137243.64891398</c:v>
                </c:pt>
                <c:pt idx="1">
                  <c:v>874492356.80802405</c:v>
                </c:pt>
                <c:pt idx="2">
                  <c:v>10383277.800012061</c:v>
                </c:pt>
                <c:pt idx="3">
                  <c:v>3737849.5789751997</c:v>
                </c:pt>
                <c:pt idx="4">
                  <c:v>27905100.622549504</c:v>
                </c:pt>
                <c:pt idx="5">
                  <c:v>136712366.15032628</c:v>
                </c:pt>
              </c:numCache>
            </c:numRef>
          </c:val>
        </c:ser>
        <c:dLbls>
          <c:showLegendKey val="0"/>
          <c:showVal val="0"/>
          <c:showCatName val="1"/>
          <c:showSerName val="0"/>
          <c:showPercent val="1"/>
          <c:showBubbleSize val="0"/>
          <c:showLeaderLines val="1"/>
        </c:dLbls>
        <c:firstSliceAng val="0"/>
      </c:pieChart>
      <c:spPr>
        <a:noFill/>
        <a:ln w="25400">
          <a:noFill/>
        </a:ln>
      </c:spPr>
    </c:plotArea>
    <c:legend>
      <c:legendPos val="r"/>
      <c:layout>
        <c:manualLayout>
          <c:xMode val="edge"/>
          <c:yMode val="edge"/>
          <c:x val="0.71365149833518315"/>
          <c:y val="0.49345549738219896"/>
          <c:w val="0.12985571587125416"/>
          <c:h val="0.1570680628272251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15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
          <c:y val="6.2589182631455936E-2"/>
          <c:w val="0.96459157945108109"/>
          <c:h val="0.87247965453048215"/>
        </c:manualLayout>
      </c:layout>
      <c:pie3DChart>
        <c:varyColors val="1"/>
        <c:ser>
          <c:idx val="0"/>
          <c:order val="0"/>
          <c:explosion val="35"/>
          <c:dLbls>
            <c:dLbl>
              <c:idx val="0"/>
              <c:layout>
                <c:manualLayout>
                  <c:x val="-3.4432378062294357E-2"/>
                  <c:y val="-4.9841520068757098E-2"/>
                </c:manualLayout>
              </c:layout>
              <c:showLegendKey val="0"/>
              <c:showVal val="0"/>
              <c:showCatName val="1"/>
              <c:showSerName val="0"/>
              <c:showPercent val="1"/>
              <c:showBubbleSize val="0"/>
            </c:dLbl>
            <c:dLbl>
              <c:idx val="2"/>
              <c:layout>
                <c:manualLayout>
                  <c:x val="-2.941360439680598E-2"/>
                  <c:y val="6.0546944225895211E-2"/>
                </c:manualLayout>
              </c:layout>
              <c:showLegendKey val="0"/>
              <c:showVal val="0"/>
              <c:showCatName val="1"/>
              <c:showSerName val="0"/>
              <c:showPercent val="1"/>
              <c:showBubbleSize val="0"/>
            </c:dLbl>
            <c:dLbl>
              <c:idx val="4"/>
              <c:layout>
                <c:manualLayout>
                  <c:x val="1.1590702935181914E-2"/>
                  <c:y val="-4.3708147921319399E-2"/>
                </c:manualLayout>
              </c:layout>
              <c:showLegendKey val="0"/>
              <c:showVal val="0"/>
              <c:showCatName val="1"/>
              <c:showSerName val="0"/>
              <c:showPercent val="1"/>
              <c:showBubbleSize val="0"/>
            </c:dLbl>
            <c:dLbl>
              <c:idx val="5"/>
              <c:layout>
                <c:manualLayout>
                  <c:x val="1.8441812218666909E-2"/>
                  <c:y val="-1.4233597457556219E-2"/>
                </c:manualLayout>
              </c:layout>
              <c:showLegendKey val="0"/>
              <c:showVal val="0"/>
              <c:showCatName val="1"/>
              <c:showSerName val="0"/>
              <c:showPercent val="1"/>
              <c:showBubbleSize val="0"/>
            </c:dLbl>
            <c:numFmt formatCode="0.00%" sourceLinked="0"/>
            <c:showLegendKey val="0"/>
            <c:showVal val="0"/>
            <c:showCatName val="1"/>
            <c:showSerName val="0"/>
            <c:showPercent val="1"/>
            <c:showBubbleSize val="0"/>
            <c:showLeaderLines val="1"/>
          </c:dLbls>
          <c:cat>
            <c:strRef>
              <c:f>'REV SUMMARY'!$B$4:$G$4</c:f>
              <c:strCache>
                <c:ptCount val="6"/>
                <c:pt idx="0">
                  <c:v>BCCRT</c:v>
                </c:pt>
                <c:pt idx="1">
                  <c:v>SCCRT</c:v>
                </c:pt>
                <c:pt idx="2">
                  <c:v>CIGARETTE</c:v>
                </c:pt>
                <c:pt idx="3">
                  <c:v>LIQUOR</c:v>
                </c:pt>
                <c:pt idx="4">
                  <c:v>RPTT</c:v>
                </c:pt>
                <c:pt idx="5">
                  <c:v>GST</c:v>
                </c:pt>
              </c:strCache>
            </c:strRef>
          </c:cat>
          <c:val>
            <c:numRef>
              <c:f>'REV SUMMARY'!$B$24:$G$24</c:f>
              <c:numCache>
                <c:formatCode>_(* #,##0_);_(* \(#,##0\);_(* "-"??_);_(@_)</c:formatCode>
                <c:ptCount val="6"/>
                <c:pt idx="0">
                  <c:v>248137243.64891398</c:v>
                </c:pt>
                <c:pt idx="1">
                  <c:v>874492356.80802405</c:v>
                </c:pt>
                <c:pt idx="2">
                  <c:v>10383277.800012061</c:v>
                </c:pt>
                <c:pt idx="3">
                  <c:v>3737849.5789751997</c:v>
                </c:pt>
                <c:pt idx="4">
                  <c:v>27905100.622549504</c:v>
                </c:pt>
                <c:pt idx="5">
                  <c:v>136712366.15032628</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3"/>
  <sheetViews>
    <sheetView zoomScale="101" workbookViewId="0" zoomToFit="1"/>
  </sheetViews>
  <pageMargins left="0.75" right="0.75" top="0.24" bottom="0" header="0.28999999999999998" footer="0.27"/>
  <pageSetup firstPageNumber="2" orientation="landscape" useFirstPageNumber="1" r:id="rId1"/>
  <headerFooter alignWithMargins="0">
    <oddFooter>&amp;L&amp;8ADMINISTRATIVE SERVICES DIVISION, 3/15/14&amp;RD-&amp;P</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190500</xdr:colOff>
      <xdr:row>9</xdr:row>
      <xdr:rowOff>9525</xdr:rowOff>
    </xdr:from>
    <xdr:to>
      <xdr:col>2</xdr:col>
      <xdr:colOff>4914900</xdr:colOff>
      <xdr:row>21</xdr:row>
      <xdr:rowOff>152400</xdr:rowOff>
    </xdr:to>
    <xdr:sp macro="" textlink="">
      <xdr:nvSpPr>
        <xdr:cNvPr id="8194" name="WordArt 2"/>
        <xdr:cNvSpPr>
          <a:spLocks noChangeArrowheads="1" noChangeShapeType="1" noTextEdit="1"/>
        </xdr:cNvSpPr>
      </xdr:nvSpPr>
      <xdr:spPr bwMode="auto">
        <a:xfrm>
          <a:off x="1409700" y="1885950"/>
          <a:ext cx="4724400" cy="20859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endParaRPr lang="en-US" sz="3600" kern="10" spc="0">
            <a:ln w="9525">
              <a:solidFill>
                <a:srgbClr val="000000"/>
              </a:solidFill>
              <a:round/>
              <a:headEnd/>
              <a:tailEnd/>
            </a:ln>
            <a:solidFill>
              <a:srgbClr val="000000"/>
            </a:solidFill>
            <a:effectLst/>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581931" cy="72710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0.00914</cdr:x>
      <cdr:y>0.15692</cdr:y>
    </cdr:from>
    <cdr:to>
      <cdr:x>1</cdr:x>
      <cdr:y>0.92</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47</xdr:row>
          <xdr:rowOff>9525</xdr:rowOff>
        </xdr:from>
        <xdr:to>
          <xdr:col>2</xdr:col>
          <xdr:colOff>66675</xdr:colOff>
          <xdr:row>50</xdr:row>
          <xdr:rowOff>114300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9525</xdr:rowOff>
        </xdr:from>
        <xdr:to>
          <xdr:col>5</xdr:col>
          <xdr:colOff>66675</xdr:colOff>
          <xdr:row>50</xdr:row>
          <xdr:rowOff>114300</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1</xdr:col>
          <xdr:colOff>914400</xdr:colOff>
          <xdr:row>50</xdr:row>
          <xdr:rowOff>38100</xdr:rowOff>
        </xdr:to>
        <xdr:sp macro="" textlink="">
          <xdr:nvSpPr>
            <xdr:cNvPr id="24577" name="Object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20-%20Adm%20Svc/Distribution%20&amp;%20Statistics/Revenue%20Projections/Rev%20Proj%2010-11/March15%20Rev%20Proj_11_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V SUMMARY"/>
      <sheetName val="Chart1"/>
      <sheetName val="1TIER BCCRT"/>
      <sheetName val="1 TIER SCCRT"/>
      <sheetName val="1 TIER CIG&amp;LIQ"/>
      <sheetName val="1 TIER RPTT"/>
      <sheetName val="1 TIER MVPT"/>
      <sheetName val="CC 2 TIER"/>
      <sheetName val="CH 2 TIER"/>
      <sheetName val="CL 2 TIER"/>
      <sheetName val="DO 2 TIER"/>
      <sheetName val="EL 2 TIER"/>
      <sheetName val="ES 2 TIER"/>
      <sheetName val="EU 2 TIER"/>
      <sheetName val="HU 2 TIER"/>
      <sheetName val="LA 2 TIER"/>
      <sheetName val="LI 2 TIER"/>
      <sheetName val="LY 2 TIER"/>
      <sheetName val="MI 2 TIER"/>
      <sheetName val="NYE 2 TIER"/>
      <sheetName val="PE 2 TIER"/>
      <sheetName val="ST 2 TIER"/>
      <sheetName val="WA 2 TIER"/>
      <sheetName val="WP TIER 2"/>
      <sheetName val="WP IL "/>
      <sheetName val="WP 2 TIER"/>
      <sheetName val="NOTES"/>
      <sheetName val="Population"/>
      <sheetName val="Data Base"/>
      <sheetName val="BASE CALC"/>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O5">
            <v>1.3549297229270216E-3</v>
          </cell>
        </row>
        <row r="11">
          <cell r="O11">
            <v>5.8185266223292021E-3</v>
          </cell>
        </row>
        <row r="12">
          <cell r="O12">
            <v>1.7262598334912883E-2</v>
          </cell>
        </row>
        <row r="17">
          <cell r="O17">
            <v>2.6440746295095314E-2</v>
          </cell>
        </row>
        <row r="18">
          <cell r="O18">
            <v>1.3437093987190197E-2</v>
          </cell>
        </row>
        <row r="19">
          <cell r="O19">
            <v>3.1015551575488819E-2</v>
          </cell>
        </row>
        <row r="20">
          <cell r="O20">
            <v>1.4878053069111396E-2</v>
          </cell>
        </row>
        <row r="21">
          <cell r="O21">
            <v>5.4292023108338916E-2</v>
          </cell>
        </row>
        <row r="22">
          <cell r="O22">
            <v>5.5153266813752232E-2</v>
          </cell>
        </row>
        <row r="23">
          <cell r="O23">
            <v>7.4746963777228394E-3</v>
          </cell>
        </row>
        <row r="24">
          <cell r="O24">
            <v>0.14104017629250504</v>
          </cell>
        </row>
        <row r="26">
          <cell r="O26">
            <v>-3.5003598071684169E-3</v>
          </cell>
        </row>
        <row r="27">
          <cell r="O27">
            <v>2.5435794108361089E-2</v>
          </cell>
        </row>
        <row r="28">
          <cell r="O28">
            <v>-1.0482206342015483E-2</v>
          </cell>
        </row>
        <row r="29">
          <cell r="O29">
            <v>-7.4483605669261516E-2</v>
          </cell>
        </row>
        <row r="30">
          <cell r="O30">
            <v>1.6019227144060448E-2</v>
          </cell>
        </row>
        <row r="31">
          <cell r="O31">
            <v>9.9238047896849424E-2</v>
          </cell>
        </row>
        <row r="32">
          <cell r="O32">
            <v>-5.1770595173666386E-3</v>
          </cell>
        </row>
        <row r="33">
          <cell r="O33">
            <v>0.12062056058301636</v>
          </cell>
        </row>
        <row r="34">
          <cell r="O34">
            <v>8.6250542280209667E-3</v>
          </cell>
        </row>
        <row r="44">
          <cell r="O44">
            <v>1.4840805016046444E-2</v>
          </cell>
        </row>
        <row r="45">
          <cell r="O45">
            <v>7.8329764233805547E-3</v>
          </cell>
        </row>
        <row r="46">
          <cell r="O46">
            <v>9.6687011281231215E-3</v>
          </cell>
        </row>
        <row r="47">
          <cell r="O47">
            <v>1.9113923447171954E-2</v>
          </cell>
        </row>
        <row r="74">
          <cell r="O74">
            <v>2.0033793553110708E-2</v>
          </cell>
        </row>
        <row r="75">
          <cell r="O75">
            <v>9.2061332680939828E-3</v>
          </cell>
        </row>
        <row r="76">
          <cell r="O76">
            <v>1.4710477029182961E-2</v>
          </cell>
        </row>
        <row r="77">
          <cell r="O77">
            <v>1.5154457093306812E-2</v>
          </cell>
        </row>
        <row r="78">
          <cell r="O78">
            <v>4.7540300401057644E-3</v>
          </cell>
        </row>
        <row r="79">
          <cell r="O79">
            <v>-1.5262601459926825E-2</v>
          </cell>
        </row>
        <row r="80">
          <cell r="O80">
            <v>-1.3374945879761568E-2</v>
          </cell>
        </row>
        <row r="81">
          <cell r="O81">
            <v>-2.5258077751446088E-3</v>
          </cell>
        </row>
        <row r="87">
          <cell r="O87">
            <v>2.8398573973923034E-3</v>
          </cell>
        </row>
        <row r="88">
          <cell r="O88">
            <v>-4.1587403122531532E-3</v>
          </cell>
        </row>
        <row r="89">
          <cell r="O89">
            <v>5.2937808508149872E-2</v>
          </cell>
        </row>
        <row r="93">
          <cell r="O93">
            <v>1.0684570592105775E-2</v>
          </cell>
        </row>
        <row r="94">
          <cell r="O94">
            <v>-1.384522068561315E-2</v>
          </cell>
        </row>
        <row r="95">
          <cell r="O95">
            <v>1.342595205910454E-2</v>
          </cell>
        </row>
        <row r="102">
          <cell r="O102">
            <v>1.1871109615972153E-2</v>
          </cell>
        </row>
        <row r="103">
          <cell r="O103">
            <v>9.4286630351156243E-3</v>
          </cell>
        </row>
        <row r="114">
          <cell r="O114">
            <v>2.3042651538527463E-2</v>
          </cell>
        </row>
        <row r="115">
          <cell r="O115">
            <v>9.0529498072000857E-3</v>
          </cell>
        </row>
        <row r="116">
          <cell r="O116">
            <v>2.3277855865756893E-2</v>
          </cell>
        </row>
        <row r="117">
          <cell r="O117">
            <v>6.9449974742718329E-2</v>
          </cell>
        </row>
        <row r="123">
          <cell r="O123">
            <v>2.4852045462429702E-2</v>
          </cell>
        </row>
        <row r="124">
          <cell r="O124">
            <v>1.8184197766065426E-2</v>
          </cell>
        </row>
        <row r="125">
          <cell r="O125">
            <v>7.0749345026641288E-3</v>
          </cell>
        </row>
        <row r="126">
          <cell r="O126">
            <v>3.6612448277228177E-2</v>
          </cell>
        </row>
        <row r="127">
          <cell r="O127">
            <v>4.6869774583051679E-2</v>
          </cell>
        </row>
        <row r="134">
          <cell r="O134">
            <v>3.9528369793099906E-2</v>
          </cell>
        </row>
        <row r="135">
          <cell r="O135">
            <v>1.6180769545861656E-2</v>
          </cell>
        </row>
        <row r="136">
          <cell r="O136">
            <v>6.9078732091690048E-2</v>
          </cell>
        </row>
        <row r="150">
          <cell r="O150">
            <v>-8.406838605764291E-3</v>
          </cell>
        </row>
        <row r="153">
          <cell r="O153">
            <v>4.0340418940370305E-2</v>
          </cell>
        </row>
        <row r="154">
          <cell r="O154">
            <v>4.5126107795009674E-4</v>
          </cell>
        </row>
        <row r="155">
          <cell r="O155">
            <v>3.0847050929040359E-2</v>
          </cell>
        </row>
        <row r="156">
          <cell r="O156">
            <v>-1.9067208151175467E-2</v>
          </cell>
        </row>
        <row r="157">
          <cell r="O157">
            <v>1.2750561430013057E-2</v>
          </cell>
        </row>
        <row r="158">
          <cell r="O158">
            <v>4.747125868924866E-2</v>
          </cell>
        </row>
        <row r="159">
          <cell r="O159">
            <v>1.8261426955219349E-2</v>
          </cell>
        </row>
        <row r="160">
          <cell r="O160">
            <v>2.0680221975261287E-2</v>
          </cell>
        </row>
        <row r="172">
          <cell r="O172">
            <v>1.5231276344854498E-2</v>
          </cell>
        </row>
        <row r="173">
          <cell r="O173">
            <v>2.6449504366833818E-3</v>
          </cell>
        </row>
        <row r="178">
          <cell r="O178">
            <v>2.6297804603826282E-2</v>
          </cell>
        </row>
        <row r="183">
          <cell r="O183">
            <v>1.6905214242446391E-2</v>
          </cell>
        </row>
        <row r="184">
          <cell r="O184">
            <v>1.853327923706153E-2</v>
          </cell>
        </row>
        <row r="185">
          <cell r="O185">
            <v>2.2536769318060704E-2</v>
          </cell>
        </row>
        <row r="197">
          <cell r="O197">
            <v>1.326711288106136E-2</v>
          </cell>
        </row>
        <row r="198">
          <cell r="O198">
            <v>1.6394985748527397E-2</v>
          </cell>
        </row>
        <row r="199">
          <cell r="O199">
            <v>1.5274032087990611E-2</v>
          </cell>
        </row>
        <row r="200">
          <cell r="O200">
            <v>5.724277919168518E-3</v>
          </cell>
        </row>
        <row r="201">
          <cell r="O201">
            <v>1.3424660000186033E-2</v>
          </cell>
        </row>
      </sheetData>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5:C8"/>
  <sheetViews>
    <sheetView tabSelected="1" workbookViewId="0">
      <selection activeCell="C9" sqref="C9"/>
    </sheetView>
  </sheetViews>
  <sheetFormatPr defaultRowHeight="12.75" x14ac:dyDescent="0.2"/>
  <cols>
    <col min="3" max="3" width="74.42578125" customWidth="1"/>
  </cols>
  <sheetData>
    <row r="5" spans="3:3" ht="26.25" x14ac:dyDescent="0.4">
      <c r="C5" s="122" t="s">
        <v>367</v>
      </c>
    </row>
    <row r="6" spans="3:3" ht="21.75" x14ac:dyDescent="0.3">
      <c r="C6" s="123" t="s">
        <v>366</v>
      </c>
    </row>
    <row r="7" spans="3:3" ht="23.25" x14ac:dyDescent="0.35">
      <c r="C7" s="121"/>
    </row>
    <row r="8" spans="3:3" x14ac:dyDescent="0.2">
      <c r="C8" s="284" t="s">
        <v>558</v>
      </c>
    </row>
  </sheetData>
  <phoneticPr fontId="0" type="noConversion"/>
  <printOptions horizontalCentered="1" verticalCentered="1"/>
  <pageMargins left="0.75" right="0.75" top="1" bottom="1" header="0.5" footer="0.5"/>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5"/>
  <sheetViews>
    <sheetView zoomScaleNormal="100" workbookViewId="0">
      <pane xSplit="1" ySplit="5" topLeftCell="B6" activePane="bottomRight" state="frozen"/>
      <selection sqref="A1:XFD1048576"/>
      <selection pane="topRight" sqref="A1:XFD1048576"/>
      <selection pane="bottomLeft" sqref="A1:XFD1048576"/>
      <selection pane="bottomRight" activeCell="B6" sqref="B6"/>
    </sheetView>
  </sheetViews>
  <sheetFormatPr defaultColWidth="13" defaultRowHeight="12.75" x14ac:dyDescent="0.2"/>
  <cols>
    <col min="1" max="1" width="39.140625" style="38" customWidth="1"/>
    <col min="2" max="2" width="15.28515625" style="38" customWidth="1"/>
    <col min="3" max="4" width="14" style="38" bestFit="1" customWidth="1"/>
    <col min="5" max="5" width="14.7109375" style="38" bestFit="1" customWidth="1"/>
    <col min="6" max="6" width="22.28515625" style="38" bestFit="1" customWidth="1"/>
    <col min="7" max="7" width="13.28515625" style="38" bestFit="1" customWidth="1"/>
    <col min="8" max="8" width="13" style="38" customWidth="1"/>
    <col min="9" max="9" width="13" style="38" hidden="1" customWidth="1"/>
    <col min="10" max="10" width="13" style="38" customWidth="1"/>
    <col min="11" max="11" width="12.5703125" style="38" bestFit="1" customWidth="1"/>
    <col min="12" max="12" width="13" style="38" customWidth="1"/>
    <col min="13" max="13" width="14.7109375" style="38" bestFit="1" customWidth="1"/>
    <col min="14" max="14" width="13.7109375" style="38" customWidth="1"/>
    <col min="15" max="16" width="15.140625" style="248" bestFit="1" customWidth="1"/>
    <col min="17" max="16384" width="13" style="38"/>
  </cols>
  <sheetData>
    <row r="1" spans="1:16" x14ac:dyDescent="0.2">
      <c r="B1" s="40" t="s">
        <v>23</v>
      </c>
      <c r="C1" s="40" t="s">
        <v>403</v>
      </c>
      <c r="D1" s="40" t="s">
        <v>404</v>
      </c>
      <c r="E1" s="40" t="s">
        <v>24</v>
      </c>
      <c r="F1" s="40" t="s">
        <v>25</v>
      </c>
      <c r="G1" s="40" t="s">
        <v>26</v>
      </c>
      <c r="H1" s="40" t="s">
        <v>27</v>
      </c>
      <c r="I1" s="40"/>
      <c r="J1" s="40" t="s">
        <v>28</v>
      </c>
      <c r="K1" s="40" t="s">
        <v>29</v>
      </c>
      <c r="L1" s="40" t="s">
        <v>30</v>
      </c>
      <c r="M1" s="40" t="s">
        <v>31</v>
      </c>
      <c r="N1" s="40" t="s">
        <v>32</v>
      </c>
      <c r="O1" s="331" t="s">
        <v>33</v>
      </c>
      <c r="P1" s="331" t="s">
        <v>353</v>
      </c>
    </row>
    <row r="2" spans="1:16" x14ac:dyDescent="0.2">
      <c r="B2" s="39"/>
      <c r="F2" s="39"/>
      <c r="G2" s="42"/>
      <c r="H2" s="41" t="s">
        <v>81</v>
      </c>
      <c r="I2" s="42"/>
      <c r="J2" s="39"/>
      <c r="K2" s="311" t="s">
        <v>474</v>
      </c>
      <c r="L2" s="273" t="s">
        <v>519</v>
      </c>
      <c r="M2" s="41" t="s">
        <v>520</v>
      </c>
      <c r="N2" s="41"/>
      <c r="O2" s="311"/>
      <c r="P2" s="311" t="s">
        <v>34</v>
      </c>
    </row>
    <row r="3" spans="1:16" x14ac:dyDescent="0.2">
      <c r="B3" s="41" t="s">
        <v>36</v>
      </c>
      <c r="C3" s="41" t="s">
        <v>554</v>
      </c>
      <c r="D3" s="41" t="s">
        <v>555</v>
      </c>
      <c r="E3" s="41" t="s">
        <v>373</v>
      </c>
      <c r="F3" s="41" t="s">
        <v>43</v>
      </c>
      <c r="G3" s="41" t="s">
        <v>38</v>
      </c>
      <c r="H3" s="41" t="s">
        <v>100</v>
      </c>
      <c r="I3" s="41"/>
      <c r="J3" s="273" t="s">
        <v>519</v>
      </c>
      <c r="K3" s="311" t="s">
        <v>39</v>
      </c>
      <c r="L3" s="273" t="s">
        <v>35</v>
      </c>
      <c r="M3" s="140" t="s">
        <v>35</v>
      </c>
      <c r="N3" s="140"/>
      <c r="O3" s="332" t="s">
        <v>34</v>
      </c>
      <c r="P3" s="332" t="s">
        <v>554</v>
      </c>
    </row>
    <row r="4" spans="1:16" x14ac:dyDescent="0.2">
      <c r="A4" s="39" t="s">
        <v>235</v>
      </c>
      <c r="B4" s="41" t="s">
        <v>41</v>
      </c>
      <c r="C4" s="41" t="s">
        <v>46</v>
      </c>
      <c r="D4" s="41" t="s">
        <v>46</v>
      </c>
      <c r="E4" s="41" t="s">
        <v>554</v>
      </c>
      <c r="F4" s="41" t="s">
        <v>47</v>
      </c>
      <c r="G4" s="41" t="s">
        <v>44</v>
      </c>
      <c r="H4" s="41" t="s">
        <v>44</v>
      </c>
      <c r="I4" s="41"/>
      <c r="J4" s="273" t="s">
        <v>44</v>
      </c>
      <c r="K4" s="311" t="s">
        <v>44</v>
      </c>
      <c r="L4" s="273" t="s">
        <v>37</v>
      </c>
      <c r="M4" s="43" t="s">
        <v>37</v>
      </c>
      <c r="N4" s="43" t="s">
        <v>43</v>
      </c>
      <c r="O4" s="333" t="s">
        <v>554</v>
      </c>
      <c r="P4" s="333" t="s">
        <v>323</v>
      </c>
    </row>
    <row r="5" spans="1:16" x14ac:dyDescent="0.2">
      <c r="B5" s="44" t="s">
        <v>45</v>
      </c>
      <c r="C5" s="44" t="s">
        <v>47</v>
      </c>
      <c r="D5" s="44" t="s">
        <v>324</v>
      </c>
      <c r="E5" s="44" t="s">
        <v>47</v>
      </c>
      <c r="F5" s="44" t="s">
        <v>374</v>
      </c>
      <c r="G5" s="44" t="s">
        <v>48</v>
      </c>
      <c r="H5" s="44" t="s">
        <v>48</v>
      </c>
      <c r="I5" s="44" t="s">
        <v>345</v>
      </c>
      <c r="J5" s="274" t="s">
        <v>48</v>
      </c>
      <c r="K5" s="312" t="s">
        <v>49</v>
      </c>
      <c r="L5" s="274" t="s">
        <v>42</v>
      </c>
      <c r="M5" s="45" t="s">
        <v>42</v>
      </c>
      <c r="N5" s="45" t="s">
        <v>47</v>
      </c>
      <c r="O5" s="334" t="s">
        <v>47</v>
      </c>
      <c r="P5" s="334" t="s">
        <v>47</v>
      </c>
    </row>
    <row r="6" spans="1:16" x14ac:dyDescent="0.2">
      <c r="A6" s="49" t="s">
        <v>50</v>
      </c>
      <c r="B6" s="50">
        <v>969132440.3259027</v>
      </c>
      <c r="C6" s="46"/>
      <c r="H6" s="24"/>
      <c r="I6" s="24"/>
      <c r="J6" s="24"/>
    </row>
    <row r="7" spans="1:16" x14ac:dyDescent="0.2">
      <c r="A7" s="39" t="s">
        <v>347</v>
      </c>
      <c r="H7" s="383"/>
      <c r="I7" s="383"/>
      <c r="J7" s="383"/>
    </row>
    <row r="8" spans="1:16" x14ac:dyDescent="0.2">
      <c r="A8" s="38" t="s">
        <v>236</v>
      </c>
      <c r="C8" s="50">
        <v>10346</v>
      </c>
      <c r="F8" s="48" t="s">
        <v>105</v>
      </c>
      <c r="O8" s="336">
        <v>10346</v>
      </c>
      <c r="P8" s="336">
        <v>862.16666666666663</v>
      </c>
    </row>
    <row r="9" spans="1:16" x14ac:dyDescent="0.2">
      <c r="A9" s="39" t="s">
        <v>55</v>
      </c>
      <c r="C9" s="50"/>
    </row>
    <row r="10" spans="1:16" x14ac:dyDescent="0.2">
      <c r="A10" s="38" t="s">
        <v>109</v>
      </c>
      <c r="D10" s="90"/>
      <c r="E10" s="90"/>
      <c r="F10" s="90"/>
      <c r="L10" s="54"/>
      <c r="M10" s="56"/>
    </row>
    <row r="11" spans="1:16" x14ac:dyDescent="0.2">
      <c r="A11" s="38" t="s">
        <v>327</v>
      </c>
      <c r="D11" s="90"/>
      <c r="E11" s="90"/>
      <c r="F11" s="90"/>
      <c r="I11" s="56"/>
      <c r="L11" s="55"/>
      <c r="M11" s="56"/>
      <c r="N11" s="50"/>
    </row>
    <row r="12" spans="1:16" x14ac:dyDescent="0.2">
      <c r="A12" s="38" t="s">
        <v>109</v>
      </c>
      <c r="C12" s="48">
        <v>331780768.79970187</v>
      </c>
      <c r="D12" s="56">
        <v>0.3500823133953116</v>
      </c>
      <c r="E12" s="325" t="s">
        <v>105</v>
      </c>
      <c r="F12" s="48" t="s">
        <v>105</v>
      </c>
      <c r="G12" s="56">
        <v>1.1780703981201327E-2</v>
      </c>
      <c r="H12" s="56">
        <v>2.016462169406516E-2</v>
      </c>
      <c r="I12" s="56">
        <v>5.1945325675266482E-2</v>
      </c>
      <c r="J12" s="56">
        <v>5.1945325675266482E-2</v>
      </c>
      <c r="K12" s="50">
        <v>17234460.088090807</v>
      </c>
      <c r="L12" s="56">
        <v>0.3591923469392988</v>
      </c>
      <c r="M12" s="56">
        <v>0.3500823133953116</v>
      </c>
      <c r="N12" s="330">
        <v>7686689.9970662678</v>
      </c>
      <c r="O12" s="336">
        <v>339467458.80590278</v>
      </c>
      <c r="P12" s="336">
        <v>28288954.900491897</v>
      </c>
    </row>
    <row r="13" spans="1:16" x14ac:dyDescent="0.2">
      <c r="C13" s="48"/>
      <c r="D13" s="56"/>
      <c r="E13" s="56"/>
      <c r="F13" s="48" t="s">
        <v>105</v>
      </c>
      <c r="G13" s="56"/>
      <c r="H13" s="56"/>
      <c r="I13" s="56"/>
      <c r="J13" s="56"/>
      <c r="K13" s="56"/>
      <c r="L13" s="56"/>
      <c r="M13" s="56"/>
      <c r="N13" s="50"/>
      <c r="O13" s="337"/>
      <c r="P13" s="337"/>
    </row>
    <row r="14" spans="1:16" x14ac:dyDescent="0.2">
      <c r="A14" s="38" t="s">
        <v>110</v>
      </c>
      <c r="C14" s="48">
        <v>9707121.9319199994</v>
      </c>
      <c r="D14" s="56">
        <v>1.0242581915254076E-2</v>
      </c>
      <c r="E14" s="325" t="s">
        <v>105</v>
      </c>
      <c r="F14" s="48" t="s">
        <v>105</v>
      </c>
      <c r="G14" s="56">
        <v>-4.9562419947692619E-3</v>
      </c>
      <c r="H14" s="56">
        <v>3.3048498489944629E-2</v>
      </c>
      <c r="I14" s="56">
        <v>4.8092256495175373E-2</v>
      </c>
      <c r="J14" s="56">
        <v>4.8092256495175373E-2</v>
      </c>
      <c r="K14" s="50">
        <v>466837.39777983888</v>
      </c>
      <c r="L14" s="56">
        <v>9.7296010255318068E-3</v>
      </c>
      <c r="M14" s="56">
        <v>1.0242581915254076E-2</v>
      </c>
      <c r="N14" s="330">
        <v>208212.75151232496</v>
      </c>
      <c r="O14" s="336">
        <v>9915334.6799999997</v>
      </c>
      <c r="P14" s="336">
        <v>826277.89</v>
      </c>
    </row>
    <row r="15" spans="1:16" x14ac:dyDescent="0.2">
      <c r="A15" s="38" t="s">
        <v>111</v>
      </c>
      <c r="C15" s="48">
        <v>93861728.496640012</v>
      </c>
      <c r="D15" s="56">
        <v>9.9039287811234666E-2</v>
      </c>
      <c r="E15" s="325" t="s">
        <v>105</v>
      </c>
      <c r="F15" s="48" t="s">
        <v>105</v>
      </c>
      <c r="G15" s="56">
        <v>1.0011976369360786E-2</v>
      </c>
      <c r="H15" s="56">
        <v>2.1188469169182968E-2</v>
      </c>
      <c r="I15" s="56">
        <v>5.1200445538543748E-2</v>
      </c>
      <c r="J15" s="56">
        <v>5.1200445538543748E-2</v>
      </c>
      <c r="K15" s="50">
        <v>4805762.3180457968</v>
      </c>
      <c r="L15" s="56">
        <v>0.10015939211487873</v>
      </c>
      <c r="M15" s="56">
        <v>9.9039287811234666E-2</v>
      </c>
      <c r="N15" s="330">
        <v>2143403.6778400056</v>
      </c>
      <c r="O15" s="336">
        <v>96005132.170000002</v>
      </c>
      <c r="P15" s="336">
        <v>8000427.6808333332</v>
      </c>
    </row>
    <row r="16" spans="1:16" x14ac:dyDescent="0.2">
      <c r="A16" s="38" t="s">
        <v>112</v>
      </c>
      <c r="C16" s="48">
        <v>261297795.72696</v>
      </c>
      <c r="D16" s="56">
        <v>0.27571138961467112</v>
      </c>
      <c r="E16" s="325" t="s">
        <v>105</v>
      </c>
      <c r="F16" s="48" t="s">
        <v>105</v>
      </c>
      <c r="G16" s="56">
        <v>6.4829327180682796E-3</v>
      </c>
      <c r="H16" s="56">
        <v>2.8107189744113026E-2</v>
      </c>
      <c r="I16" s="56">
        <v>5.4590122462181312E-2</v>
      </c>
      <c r="J16" s="56">
        <v>5.4590122462181312E-2</v>
      </c>
      <c r="K16" s="50">
        <v>14264278.667832782</v>
      </c>
      <c r="L16" s="56">
        <v>0.29728925106481907</v>
      </c>
      <c r="M16" s="56">
        <v>0.27571138961467112</v>
      </c>
      <c r="N16" s="330">
        <v>6361968.2653802373</v>
      </c>
      <c r="O16" s="336">
        <v>267659763.99000001</v>
      </c>
      <c r="P16" s="336">
        <v>22304980.3325</v>
      </c>
    </row>
    <row r="17" spans="1:16" x14ac:dyDescent="0.2">
      <c r="A17" s="38" t="s">
        <v>113</v>
      </c>
      <c r="C17" s="48">
        <v>7517633.4686399996</v>
      </c>
      <c r="D17" s="56">
        <v>7.9323178539873127E-3</v>
      </c>
      <c r="E17" s="325" t="s">
        <v>105</v>
      </c>
      <c r="F17" s="48" t="s">
        <v>105</v>
      </c>
      <c r="G17" s="56">
        <v>-1.4913929310445318E-2</v>
      </c>
      <c r="H17" s="56">
        <v>1.0924836086879635E-3</v>
      </c>
      <c r="I17" s="56">
        <v>6.1785542982426452E-3</v>
      </c>
      <c r="J17" s="56">
        <v>6.1785542982426452E-3</v>
      </c>
      <c r="K17" s="50">
        <v>46448.106580278436</v>
      </c>
      <c r="L17" s="56">
        <v>9.680491485187623E-4</v>
      </c>
      <c r="M17" s="56">
        <v>7.9323178539873127E-3</v>
      </c>
      <c r="N17" s="330">
        <v>20716.181093482999</v>
      </c>
      <c r="O17" s="336">
        <v>7538349.6500000004</v>
      </c>
      <c r="P17" s="336">
        <v>628195.8041666667</v>
      </c>
    </row>
    <row r="18" spans="1:16" x14ac:dyDescent="0.2">
      <c r="A18" s="38" t="s">
        <v>114</v>
      </c>
      <c r="C18" s="48">
        <v>47331144.809200004</v>
      </c>
      <c r="D18" s="56">
        <v>4.9942004566444667E-2</v>
      </c>
      <c r="E18" s="325" t="s">
        <v>105</v>
      </c>
      <c r="F18" s="48" t="s">
        <v>105</v>
      </c>
      <c r="G18" s="56">
        <v>1.4079947711713961E-2</v>
      </c>
      <c r="H18" s="56">
        <v>3.6700399345686453E-2</v>
      </c>
      <c r="I18" s="56">
        <v>7.0780347057400411E-2</v>
      </c>
      <c r="J18" s="56">
        <v>7.0780347057400411E-2</v>
      </c>
      <c r="K18" s="50">
        <v>3350114.8562192521</v>
      </c>
      <c r="L18" s="56">
        <v>6.9821486229970281E-2</v>
      </c>
      <c r="M18" s="56">
        <v>4.9942004566444667E-2</v>
      </c>
      <c r="N18" s="330">
        <v>1494174.7071100902</v>
      </c>
      <c r="O18" s="336">
        <v>48825319.520000003</v>
      </c>
      <c r="P18" s="336">
        <v>4068776.6266666669</v>
      </c>
    </row>
    <row r="19" spans="1:16" x14ac:dyDescent="0.2">
      <c r="A19" s="91"/>
      <c r="C19" s="48"/>
      <c r="D19" s="56"/>
      <c r="E19" s="56"/>
      <c r="F19" s="48" t="s">
        <v>105</v>
      </c>
      <c r="G19" s="56"/>
      <c r="H19" s="56"/>
      <c r="I19" s="56"/>
      <c r="J19" s="56">
        <v>0</v>
      </c>
      <c r="K19" s="56"/>
      <c r="L19" s="56"/>
      <c r="M19" s="56"/>
      <c r="N19" s="50"/>
      <c r="O19" s="337"/>
      <c r="P19" s="337"/>
    </row>
    <row r="20" spans="1:16" x14ac:dyDescent="0.2">
      <c r="A20" s="38" t="s">
        <v>115</v>
      </c>
      <c r="C20" s="48">
        <v>552691.85880000005</v>
      </c>
      <c r="D20" s="56">
        <v>5.8317920361523011E-4</v>
      </c>
      <c r="E20" s="325" t="s">
        <v>105</v>
      </c>
      <c r="F20" s="48" t="s">
        <v>105</v>
      </c>
      <c r="G20" s="56">
        <v>-3.1206073153054469E-2</v>
      </c>
      <c r="H20" s="56">
        <v>-6.8041295614146777E-2</v>
      </c>
      <c r="I20" s="56">
        <v>-1.1206073153054469E-2</v>
      </c>
      <c r="J20" s="56">
        <v>0</v>
      </c>
      <c r="K20" s="50">
        <v>0</v>
      </c>
      <c r="L20" s="56">
        <v>0</v>
      </c>
      <c r="M20" s="56">
        <v>5.8317920361523011E-4</v>
      </c>
      <c r="N20" s="330">
        <v>0</v>
      </c>
      <c r="O20" s="336">
        <v>552691.86</v>
      </c>
      <c r="P20" s="336">
        <v>46057.654999999999</v>
      </c>
    </row>
    <row r="21" spans="1:16" x14ac:dyDescent="0.2">
      <c r="A21" s="38" t="s">
        <v>116</v>
      </c>
      <c r="C21" s="48">
        <v>4241136.0236799996</v>
      </c>
      <c r="D21" s="56">
        <v>4.4750837004975362E-3</v>
      </c>
      <c r="E21" s="325" t="s">
        <v>105</v>
      </c>
      <c r="F21" s="48" t="s">
        <v>105</v>
      </c>
      <c r="G21" s="56">
        <v>3.0190036431409967E-2</v>
      </c>
      <c r="H21" s="56">
        <v>4.7312865956431825E-2</v>
      </c>
      <c r="I21" s="56">
        <v>9.7502902387841803E-2</v>
      </c>
      <c r="J21" s="56">
        <v>9.7502902387841803E-2</v>
      </c>
      <c r="K21" s="50">
        <v>413523.07173043053</v>
      </c>
      <c r="L21" s="56">
        <v>8.6184494256968409E-3</v>
      </c>
      <c r="M21" s="56">
        <v>4.4750837004975362E-3</v>
      </c>
      <c r="N21" s="330">
        <v>184434.18840970128</v>
      </c>
      <c r="O21" s="336">
        <v>4425570.21</v>
      </c>
      <c r="P21" s="336">
        <v>368797.51750000002</v>
      </c>
    </row>
    <row r="22" spans="1:16" x14ac:dyDescent="0.2">
      <c r="A22" s="38" t="s">
        <v>117</v>
      </c>
      <c r="C22" s="48">
        <v>0</v>
      </c>
      <c r="D22" s="56">
        <v>0</v>
      </c>
      <c r="E22" s="56"/>
      <c r="F22" s="48" t="s">
        <v>105</v>
      </c>
      <c r="G22" s="56"/>
      <c r="H22" s="56"/>
      <c r="I22" s="56"/>
      <c r="J22" s="56"/>
      <c r="K22" s="56"/>
      <c r="L22" s="56">
        <v>0</v>
      </c>
      <c r="M22" s="56">
        <v>0</v>
      </c>
      <c r="N22" s="330">
        <v>0</v>
      </c>
      <c r="O22" s="336">
        <v>0</v>
      </c>
      <c r="P22" s="336">
        <v>0</v>
      </c>
    </row>
    <row r="23" spans="1:16" x14ac:dyDescent="0.2">
      <c r="A23" s="38" t="s">
        <v>118</v>
      </c>
      <c r="C23" s="48">
        <v>6959065.8583199997</v>
      </c>
      <c r="D23" s="56">
        <v>7.3429387832354212E-3</v>
      </c>
      <c r="E23" s="325" t="s">
        <v>105</v>
      </c>
      <c r="F23" s="48" t="s">
        <v>105</v>
      </c>
      <c r="G23" s="56">
        <v>2.8609452167502974E-2</v>
      </c>
      <c r="H23" s="56">
        <v>-3.6419406898587262E-2</v>
      </c>
      <c r="I23" s="56">
        <v>4.8609452167502974E-2</v>
      </c>
      <c r="J23" s="56">
        <v>4.8609452167502974E-2</v>
      </c>
      <c r="K23" s="50">
        <v>338276.37897050905</v>
      </c>
      <c r="L23" s="56">
        <v>7.050193963459692E-3</v>
      </c>
      <c r="M23" s="56">
        <v>7.3429387832354212E-3</v>
      </c>
      <c r="N23" s="330">
        <v>150873.63602838901</v>
      </c>
      <c r="O23" s="336">
        <v>7109939.4900000002</v>
      </c>
      <c r="P23" s="336">
        <v>592494.95750000002</v>
      </c>
    </row>
    <row r="24" spans="1:16" x14ac:dyDescent="0.2">
      <c r="A24" s="38" t="s">
        <v>237</v>
      </c>
      <c r="C24" s="48">
        <v>752732.26136</v>
      </c>
      <c r="D24" s="56">
        <v>7.942541467292842E-4</v>
      </c>
      <c r="E24" s="325" t="s">
        <v>105</v>
      </c>
      <c r="F24" s="48" t="s">
        <v>105</v>
      </c>
      <c r="G24" s="56">
        <v>-1.0575812415734107E-2</v>
      </c>
      <c r="H24" s="56">
        <v>-6.2134321048271338E-2</v>
      </c>
      <c r="I24" s="56">
        <v>9.4241875842658931E-3</v>
      </c>
      <c r="J24" s="56">
        <v>9.4241875842658931E-3</v>
      </c>
      <c r="K24" s="50">
        <v>7093.8900317853013</v>
      </c>
      <c r="L24" s="56">
        <v>1.4784745193190026E-4</v>
      </c>
      <c r="M24" s="56">
        <v>7.942541467292842E-4</v>
      </c>
      <c r="N24" s="330">
        <v>3163.9246758470822</v>
      </c>
      <c r="O24" s="336">
        <v>755896.19</v>
      </c>
      <c r="P24" s="336">
        <v>62991.34916666666</v>
      </c>
    </row>
    <row r="25" spans="1:16" x14ac:dyDescent="0.2">
      <c r="A25" s="38" t="s">
        <v>120</v>
      </c>
      <c r="C25" s="48">
        <v>68506248.925760001</v>
      </c>
      <c r="D25" s="56">
        <v>7.2285160447149735E-2</v>
      </c>
      <c r="E25" s="325" t="s">
        <v>105</v>
      </c>
      <c r="F25" s="48" t="s">
        <v>105</v>
      </c>
      <c r="G25" s="56">
        <v>1.3220113406657222E-2</v>
      </c>
      <c r="H25" s="56">
        <v>-4.1966755794425204E-3</v>
      </c>
      <c r="I25" s="56">
        <v>3.3220113406657224E-2</v>
      </c>
      <c r="J25" s="56">
        <v>3.3220113406657224E-2</v>
      </c>
      <c r="K25" s="50">
        <v>2275785.3583784369</v>
      </c>
      <c r="L25" s="56">
        <v>4.7430826369252312E-2</v>
      </c>
      <c r="M25" s="56">
        <v>7.2285160447149735E-2</v>
      </c>
      <c r="N25" s="330">
        <v>1015016.2210074353</v>
      </c>
      <c r="O25" s="336">
        <v>69521265.150000006</v>
      </c>
      <c r="P25" s="336">
        <v>5793438.7625000002</v>
      </c>
    </row>
    <row r="26" spans="1:16" x14ac:dyDescent="0.2">
      <c r="A26" s="38" t="s">
        <v>121</v>
      </c>
      <c r="C26" s="48">
        <v>386505.01312000002</v>
      </c>
      <c r="D26" s="56">
        <v>4.0782523237090182E-4</v>
      </c>
      <c r="E26" s="325" t="s">
        <v>105</v>
      </c>
      <c r="F26" s="48" t="s">
        <v>105</v>
      </c>
      <c r="G26" s="56">
        <v>-0.12702606741263225</v>
      </c>
      <c r="H26" s="56">
        <v>4.7093771947092772E-3</v>
      </c>
      <c r="I26" s="56">
        <v>-0.10231669021792297</v>
      </c>
      <c r="J26" s="56">
        <v>0</v>
      </c>
      <c r="K26" s="50">
        <v>0</v>
      </c>
      <c r="L26" s="56">
        <v>0</v>
      </c>
      <c r="M26" s="56">
        <v>4.0782523237090182E-4</v>
      </c>
      <c r="N26" s="330">
        <v>0</v>
      </c>
      <c r="O26" s="336">
        <v>386505.01</v>
      </c>
      <c r="P26" s="336">
        <v>32208.750833333335</v>
      </c>
    </row>
    <row r="27" spans="1:16" x14ac:dyDescent="0.2">
      <c r="A27" s="38" t="s">
        <v>122</v>
      </c>
      <c r="C27" s="48">
        <v>20474189.043920003</v>
      </c>
      <c r="D27" s="56">
        <v>2.1603577239630831E-2</v>
      </c>
      <c r="E27" s="325" t="s">
        <v>105</v>
      </c>
      <c r="F27" s="48" t="s">
        <v>105</v>
      </c>
      <c r="G27" s="56">
        <v>1.905709727508521E-2</v>
      </c>
      <c r="H27" s="56">
        <v>2.0543106334658043E-2</v>
      </c>
      <c r="I27" s="56">
        <v>5.960020360974326E-2</v>
      </c>
      <c r="J27" s="56">
        <v>5.960020360974326E-2</v>
      </c>
      <c r="K27" s="50">
        <v>1220265.8357620069</v>
      </c>
      <c r="L27" s="56">
        <v>2.5432194985909484E-2</v>
      </c>
      <c r="M27" s="56">
        <v>2.1603577239630831E-2</v>
      </c>
      <c r="N27" s="330">
        <v>544247.11569555174</v>
      </c>
      <c r="O27" s="336">
        <v>21018436.16</v>
      </c>
      <c r="P27" s="336">
        <v>1751536.3466666667</v>
      </c>
    </row>
    <row r="28" spans="1:16" x14ac:dyDescent="0.2">
      <c r="A28" s="38" t="s">
        <v>123</v>
      </c>
      <c r="C28" s="48">
        <v>148869.8064</v>
      </c>
      <c r="D28" s="56">
        <v>1.5708169707294681E-4</v>
      </c>
      <c r="E28" s="325" t="s">
        <v>105</v>
      </c>
      <c r="F28" s="48" t="s">
        <v>105</v>
      </c>
      <c r="G28" s="56">
        <v>-5.025346763571692E-3</v>
      </c>
      <c r="H28" s="56">
        <v>4.5664618647158706E-2</v>
      </c>
      <c r="I28" s="56">
        <v>6.0639271883587018E-2</v>
      </c>
      <c r="J28" s="56">
        <v>6.0639271883587018E-2</v>
      </c>
      <c r="K28" s="50">
        <v>9027.356665546562</v>
      </c>
      <c r="L28" s="56">
        <v>1.8814383570950582E-4</v>
      </c>
      <c r="M28" s="56">
        <v>1.5708169707294681E-4</v>
      </c>
      <c r="N28" s="330">
        <v>4026.2643463345748</v>
      </c>
      <c r="O28" s="336">
        <v>152896.07</v>
      </c>
      <c r="P28" s="336">
        <v>12741.339166666667</v>
      </c>
    </row>
    <row r="29" spans="1:16" x14ac:dyDescent="0.2">
      <c r="A29" s="38" t="s">
        <v>124</v>
      </c>
      <c r="C29" s="48">
        <v>9947796.3095999993</v>
      </c>
      <c r="D29" s="56">
        <v>1.0496532266921555E-2</v>
      </c>
      <c r="E29" s="325" t="s">
        <v>105</v>
      </c>
      <c r="F29" s="48" t="s">
        <v>105</v>
      </c>
      <c r="G29" s="56">
        <v>2.5166336060079019E-2</v>
      </c>
      <c r="H29" s="56">
        <v>3.5974285922097157E-2</v>
      </c>
      <c r="I29" s="56">
        <v>8.1140621982176184E-2</v>
      </c>
      <c r="J29" s="56">
        <v>8.1140621982176184E-2</v>
      </c>
      <c r="K29" s="50">
        <v>807170.37991294079</v>
      </c>
      <c r="L29" s="56">
        <v>1.6822657725214085E-2</v>
      </c>
      <c r="M29" s="56">
        <v>1.0496532266921555E-2</v>
      </c>
      <c r="N29" s="330">
        <v>360003.64696613461</v>
      </c>
      <c r="O29" s="336">
        <v>10307799.960000001</v>
      </c>
      <c r="P29" s="336">
        <v>858983.33000000007</v>
      </c>
    </row>
    <row r="30" spans="1:16" x14ac:dyDescent="0.2">
      <c r="A30" s="38" t="s">
        <v>125</v>
      </c>
      <c r="C30" s="48">
        <v>817270.22727999999</v>
      </c>
      <c r="D30" s="56">
        <v>8.6235212749181988E-4</v>
      </c>
      <c r="E30" s="325" t="s">
        <v>105</v>
      </c>
      <c r="F30" s="48" t="s">
        <v>105</v>
      </c>
      <c r="G30" s="56">
        <v>1.505624621421226E-2</v>
      </c>
      <c r="H30" s="56">
        <v>6.3802094509600754E-2</v>
      </c>
      <c r="I30" s="56">
        <v>9.8858340723813012E-2</v>
      </c>
      <c r="J30" s="56">
        <v>9.8858340723813012E-2</v>
      </c>
      <c r="K30" s="50">
        <v>80793.978591874344</v>
      </c>
      <c r="L30" s="56">
        <v>1.6838693315975898E-3</v>
      </c>
      <c r="M30" s="56">
        <v>8.6235212749181988E-4</v>
      </c>
      <c r="N30" s="330">
        <v>36034.680743755387</v>
      </c>
      <c r="O30" s="336">
        <v>853304.91</v>
      </c>
      <c r="P30" s="336">
        <v>71108.742500000008</v>
      </c>
    </row>
    <row r="31" spans="1:16" x14ac:dyDescent="0.2">
      <c r="A31" s="38" t="s">
        <v>126</v>
      </c>
      <c r="C31" s="48">
        <v>13162272.420639999</v>
      </c>
      <c r="D31" s="56">
        <v>1.3888323892994426E-2</v>
      </c>
      <c r="E31" s="325" t="s">
        <v>105</v>
      </c>
      <c r="F31" s="48" t="s">
        <v>105</v>
      </c>
      <c r="G31" s="56">
        <v>-1.6193472631225399E-2</v>
      </c>
      <c r="H31" s="56">
        <v>1.2623029474932324E-3</v>
      </c>
      <c r="I31" s="56">
        <v>5.0688303162678347E-3</v>
      </c>
      <c r="J31" s="56">
        <v>5.0688303162678347E-3</v>
      </c>
      <c r="K31" s="50">
        <v>66717.32547671604</v>
      </c>
      <c r="L31" s="56">
        <v>1.3904904822666492E-3</v>
      </c>
      <c r="M31" s="56">
        <v>1.3888323892994426E-2</v>
      </c>
      <c r="N31" s="330">
        <v>29756.394789951224</v>
      </c>
      <c r="O31" s="336">
        <v>13192028.82</v>
      </c>
      <c r="P31" s="336">
        <v>1099335.7350000001</v>
      </c>
    </row>
    <row r="32" spans="1:16" x14ac:dyDescent="0.2">
      <c r="A32" s="92"/>
      <c r="C32" s="48"/>
      <c r="D32" s="56"/>
      <c r="E32" s="56"/>
      <c r="F32" s="48" t="s">
        <v>105</v>
      </c>
      <c r="G32" s="48" t="s">
        <v>105</v>
      </c>
      <c r="H32" s="56"/>
      <c r="I32" s="56"/>
      <c r="K32" s="56"/>
      <c r="L32" s="56"/>
      <c r="M32" s="56"/>
      <c r="N32" s="50"/>
      <c r="O32" s="337"/>
      <c r="P32" s="337"/>
    </row>
    <row r="33" spans="1:16" x14ac:dyDescent="0.2">
      <c r="A33" s="39" t="s">
        <v>60</v>
      </c>
      <c r="C33" s="48"/>
      <c r="D33" s="56"/>
      <c r="E33" s="56"/>
      <c r="F33" s="48" t="s">
        <v>105</v>
      </c>
      <c r="G33" s="48" t="s">
        <v>105</v>
      </c>
      <c r="H33" s="56"/>
      <c r="I33" s="56"/>
      <c r="J33" s="56"/>
      <c r="K33" s="56"/>
      <c r="L33" s="56"/>
      <c r="M33" s="56"/>
      <c r="N33" s="50"/>
      <c r="O33" s="337"/>
      <c r="P33" s="337"/>
    </row>
    <row r="34" spans="1:16" x14ac:dyDescent="0.2">
      <c r="A34" s="38" t="s">
        <v>238</v>
      </c>
      <c r="C34" s="48">
        <v>594024.93335999991</v>
      </c>
      <c r="D34" s="56">
        <v>6.2679227502396295E-4</v>
      </c>
      <c r="E34" s="325" t="s">
        <v>105</v>
      </c>
      <c r="F34" s="48" t="s">
        <v>105</v>
      </c>
      <c r="G34" s="48"/>
      <c r="H34" s="56">
        <v>3.3048498489944629E-2</v>
      </c>
      <c r="I34" s="56">
        <v>3.3048498489944629E-2</v>
      </c>
      <c r="J34" s="56">
        <v>5.3048498489944626E-2</v>
      </c>
      <c r="K34" s="50">
        <v>31512.130780337411</v>
      </c>
      <c r="L34" s="56">
        <v>6.5676070815058499E-4</v>
      </c>
      <c r="M34" s="56">
        <v>6.2679227502396295E-4</v>
      </c>
      <c r="N34" s="330">
        <v>14054.631199200892</v>
      </c>
      <c r="O34" s="336">
        <v>608079.56000000006</v>
      </c>
      <c r="P34" s="336">
        <v>50673.296666666669</v>
      </c>
    </row>
    <row r="35" spans="1:16" x14ac:dyDescent="0.2">
      <c r="A35" s="38" t="s">
        <v>239</v>
      </c>
      <c r="C35" s="48">
        <v>47116386.864320002</v>
      </c>
      <c r="D35" s="56">
        <v>4.9715400238425272E-2</v>
      </c>
      <c r="E35" s="325" t="s">
        <v>105</v>
      </c>
      <c r="F35" s="48" t="s">
        <v>105</v>
      </c>
      <c r="G35" s="48"/>
      <c r="H35" s="56">
        <v>1.6478982388768704E-2</v>
      </c>
      <c r="I35" s="56">
        <v>1.6478982388768704E-2</v>
      </c>
      <c r="J35" s="56">
        <v>3.6478982388768705E-2</v>
      </c>
      <c r="K35" s="50">
        <v>1718757.8466459424</v>
      </c>
      <c r="L35" s="56">
        <v>3.582152626781137E-2</v>
      </c>
      <c r="M35" s="56">
        <v>4.9715400238425272E-2</v>
      </c>
      <c r="N35" s="330">
        <v>766578.04652214493</v>
      </c>
      <c r="O35" s="336">
        <v>47882964.909999996</v>
      </c>
      <c r="P35" s="336">
        <v>3990247.0758333332</v>
      </c>
    </row>
    <row r="36" spans="1:16" x14ac:dyDescent="0.2">
      <c r="A36" s="38" t="s">
        <v>240</v>
      </c>
      <c r="C36" s="48">
        <v>2128580.452</v>
      </c>
      <c r="D36" s="56">
        <v>2.2459962691028269E-3</v>
      </c>
      <c r="E36" s="325" t="s">
        <v>105</v>
      </c>
      <c r="F36" s="48" t="s">
        <v>105</v>
      </c>
      <c r="G36" s="48"/>
      <c r="H36" s="56">
        <v>2.1188469169182968E-2</v>
      </c>
      <c r="I36" s="56">
        <v>2.1188469169182968E-2</v>
      </c>
      <c r="J36" s="56">
        <v>4.1188469169182965E-2</v>
      </c>
      <c r="K36" s="50">
        <v>87672.970321327535</v>
      </c>
      <c r="L36" s="56">
        <v>1.8272379762344893E-3</v>
      </c>
      <c r="M36" s="56">
        <v>2.2459962691028269E-3</v>
      </c>
      <c r="N36" s="330">
        <v>39102.75927052211</v>
      </c>
      <c r="O36" s="336">
        <v>2167683.21</v>
      </c>
      <c r="P36" s="336">
        <v>180640.26749999999</v>
      </c>
    </row>
    <row r="37" spans="1:16" x14ac:dyDescent="0.2">
      <c r="A37" s="38" t="s">
        <v>241</v>
      </c>
      <c r="C37" s="48">
        <v>19464046.64968</v>
      </c>
      <c r="D37" s="56">
        <v>2.0537713815679006E-2</v>
      </c>
      <c r="E37" s="325" t="s">
        <v>105</v>
      </c>
      <c r="F37" s="48" t="s">
        <v>105</v>
      </c>
      <c r="G37" s="48"/>
      <c r="H37" s="56">
        <v>1.7873106495928787E-2</v>
      </c>
      <c r="I37" s="56">
        <v>1.7873106495928787E-2</v>
      </c>
      <c r="J37" s="56">
        <v>3.7873106495928788E-2</v>
      </c>
      <c r="K37" s="50">
        <v>737163.91160505661</v>
      </c>
      <c r="L37" s="56">
        <v>1.536361650640523E-2</v>
      </c>
      <c r="M37" s="56">
        <v>2.0537713815679006E-2</v>
      </c>
      <c r="N37" s="330">
        <v>328780.27141960413</v>
      </c>
      <c r="O37" s="336">
        <v>19792826.920000002</v>
      </c>
      <c r="P37" s="336">
        <v>1649402.2433333334</v>
      </c>
    </row>
    <row r="38" spans="1:16" x14ac:dyDescent="0.2">
      <c r="A38" s="38" t="s">
        <v>242</v>
      </c>
      <c r="C38" s="48">
        <v>818230.20503999991</v>
      </c>
      <c r="D38" s="56">
        <v>8.633650591220787E-4</v>
      </c>
      <c r="E38" s="325" t="s">
        <v>105</v>
      </c>
      <c r="F38" s="48" t="s">
        <v>105</v>
      </c>
      <c r="G38" s="48"/>
      <c r="H38" s="56">
        <v>-6.7191578634539922E-2</v>
      </c>
      <c r="I38" s="56">
        <v>0</v>
      </c>
      <c r="J38" s="56">
        <v>0.02</v>
      </c>
      <c r="K38" s="50">
        <v>16364.604100799999</v>
      </c>
      <c r="L38" s="56">
        <v>3.4106322586575325E-4</v>
      </c>
      <c r="M38" s="56">
        <v>8.633650591220787E-4</v>
      </c>
      <c r="N38" s="330">
        <v>7298.728129840918</v>
      </c>
      <c r="O38" s="336">
        <v>825528.93</v>
      </c>
      <c r="P38" s="336">
        <v>68794.077499999999</v>
      </c>
    </row>
    <row r="39" spans="1:16" ht="15" x14ac:dyDescent="0.35">
      <c r="A39" s="38" t="s">
        <v>243</v>
      </c>
      <c r="C39" s="58">
        <v>155927.25735999999</v>
      </c>
      <c r="D39" s="329">
        <v>1.6452844803349547E-4</v>
      </c>
      <c r="E39" s="326" t="s">
        <v>105</v>
      </c>
      <c r="F39" s="58" t="s">
        <v>105</v>
      </c>
      <c r="H39" s="56">
        <v>-5.7521599657967062E-2</v>
      </c>
      <c r="I39" s="56">
        <v>0</v>
      </c>
      <c r="J39" s="56">
        <v>0.02</v>
      </c>
      <c r="K39" s="50">
        <v>3118.5451472</v>
      </c>
      <c r="L39" s="56">
        <v>6.499522147682303E-5</v>
      </c>
      <c r="M39" s="56">
        <v>1.6452844803349547E-4</v>
      </c>
      <c r="N39" s="330">
        <v>1390.8929937959706</v>
      </c>
      <c r="O39" s="336">
        <v>157318.15</v>
      </c>
      <c r="P39" s="336">
        <v>13109.845833333333</v>
      </c>
    </row>
    <row r="40" spans="1:16" x14ac:dyDescent="0.2">
      <c r="C40" s="48"/>
      <c r="L40" s="56"/>
    </row>
    <row r="41" spans="1:16" ht="13.5" thickBot="1" x14ac:dyDescent="0.25">
      <c r="A41" s="64" t="s">
        <v>244</v>
      </c>
      <c r="C41" s="65">
        <v>947732513.34370208</v>
      </c>
      <c r="D41" s="327">
        <v>1</v>
      </c>
      <c r="E41" s="67">
        <v>0</v>
      </c>
      <c r="F41" s="68">
        <v>21399926.982200623</v>
      </c>
      <c r="K41" s="65">
        <v>47981145.01866968</v>
      </c>
      <c r="L41" s="79">
        <v>1</v>
      </c>
      <c r="M41" s="328">
        <v>1</v>
      </c>
      <c r="N41" s="65">
        <v>21399926.982200619</v>
      </c>
      <c r="O41" s="338">
        <v>969132440.32590282</v>
      </c>
      <c r="P41" s="338">
        <v>80760174.527158573</v>
      </c>
    </row>
    <row r="42" spans="1:16" ht="26.25" thickTop="1" x14ac:dyDescent="0.2">
      <c r="A42" s="129" t="s">
        <v>536</v>
      </c>
    </row>
    <row r="45" spans="1:16" x14ac:dyDescent="0.2">
      <c r="C45" s="50"/>
      <c r="H45" s="56"/>
      <c r="I45" s="56"/>
      <c r="J45" s="56"/>
    </row>
  </sheetData>
  <mergeCells count="1">
    <mergeCell ref="H7:J7"/>
  </mergeCells>
  <phoneticPr fontId="0" type="noConversion"/>
  <printOptions horizontalCentered="1" verticalCentered="1"/>
  <pageMargins left="0.75" right="0.75" top="1" bottom="1" header="0.5" footer="0.5"/>
  <pageSetup scale="83" firstPageNumber="14"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52"/>
  <sheetViews>
    <sheetView zoomScaleNormal="100" workbookViewId="0">
      <pane xSplit="1" ySplit="5" topLeftCell="B6" activePane="bottomRight" state="frozen"/>
      <selection sqref="A1:XFD1048576"/>
      <selection pane="topRight" sqref="A1:XFD1048576"/>
      <selection pane="bottomLeft" sqref="A1:XFD1048576"/>
      <selection pane="bottomRight" activeCell="B6" sqref="B6"/>
    </sheetView>
  </sheetViews>
  <sheetFormatPr defaultColWidth="13" defaultRowHeight="12" x14ac:dyDescent="0.2"/>
  <cols>
    <col min="1" max="1" width="40" style="21" customWidth="1"/>
    <col min="2" max="2" width="15.28515625" style="21" bestFit="1" customWidth="1"/>
    <col min="3" max="3" width="14.85546875" style="21" customWidth="1"/>
    <col min="4" max="4" width="13" style="21" hidden="1" customWidth="1"/>
    <col min="5" max="5" width="14.42578125" style="21" customWidth="1"/>
    <col min="6" max="6" width="14.5703125" style="21" customWidth="1"/>
    <col min="7" max="7" width="14.85546875" style="21" customWidth="1"/>
    <col min="8" max="8" width="13.28515625" style="21" bestFit="1" customWidth="1"/>
    <col min="9" max="11" width="13" style="21" customWidth="1"/>
    <col min="12" max="12" width="13" style="21" hidden="1" customWidth="1"/>
    <col min="13" max="13" width="14" style="21" customWidth="1"/>
    <col min="14" max="14" width="14.7109375" style="25" customWidth="1"/>
    <col min="15" max="15" width="14.42578125" style="22" customWidth="1"/>
    <col min="16" max="16" width="13.85546875" style="21" bestFit="1" customWidth="1"/>
    <col min="17" max="16384" width="13" style="21"/>
  </cols>
  <sheetData>
    <row r="1" spans="1:16" s="38" customFormat="1" ht="12.75"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ht="12.75" x14ac:dyDescent="0.2">
      <c r="B2" s="39"/>
      <c r="D2" s="41"/>
      <c r="E2" s="38"/>
      <c r="G2" s="39"/>
      <c r="H2" s="42"/>
      <c r="I2" s="42" t="s">
        <v>81</v>
      </c>
      <c r="J2" s="39"/>
      <c r="K2" s="41" t="s">
        <v>474</v>
      </c>
      <c r="L2" s="38"/>
      <c r="M2" s="39"/>
      <c r="N2" s="41"/>
      <c r="O2" s="41"/>
      <c r="P2" s="41" t="s">
        <v>34</v>
      </c>
    </row>
    <row r="3" spans="1:16" ht="12.75" x14ac:dyDescent="0.2">
      <c r="B3" s="41" t="s">
        <v>36</v>
      </c>
      <c r="C3" s="41" t="s">
        <v>554</v>
      </c>
      <c r="D3" s="41" t="s">
        <v>46</v>
      </c>
      <c r="E3" s="41" t="s">
        <v>555</v>
      </c>
      <c r="F3" s="41" t="s">
        <v>373</v>
      </c>
      <c r="G3" s="41" t="s">
        <v>43</v>
      </c>
      <c r="H3" s="41" t="s">
        <v>38</v>
      </c>
      <c r="I3" s="41" t="s">
        <v>100</v>
      </c>
      <c r="J3" s="273" t="s">
        <v>398</v>
      </c>
      <c r="K3" s="41" t="s">
        <v>39</v>
      </c>
      <c r="L3" s="44" t="s">
        <v>345</v>
      </c>
      <c r="M3" s="41" t="s">
        <v>35</v>
      </c>
      <c r="N3" s="140"/>
      <c r="O3" s="41" t="s">
        <v>34</v>
      </c>
      <c r="P3" s="41" t="s">
        <v>554</v>
      </c>
    </row>
    <row r="4" spans="1:16" ht="12.75" x14ac:dyDescent="0.2">
      <c r="A4" s="22" t="s">
        <v>40</v>
      </c>
      <c r="B4" s="41" t="s">
        <v>41</v>
      </c>
      <c r="C4" s="41" t="s">
        <v>46</v>
      </c>
      <c r="D4" s="41" t="s">
        <v>323</v>
      </c>
      <c r="E4" s="41" t="s">
        <v>46</v>
      </c>
      <c r="F4" s="41" t="s">
        <v>554</v>
      </c>
      <c r="G4" s="41" t="s">
        <v>47</v>
      </c>
      <c r="H4" s="41" t="s">
        <v>44</v>
      </c>
      <c r="I4" s="41" t="s">
        <v>44</v>
      </c>
      <c r="J4" s="273" t="s">
        <v>44</v>
      </c>
      <c r="K4" s="41" t="s">
        <v>44</v>
      </c>
      <c r="L4" s="38"/>
      <c r="M4" s="41" t="s">
        <v>37</v>
      </c>
      <c r="N4" s="43" t="s">
        <v>43</v>
      </c>
      <c r="O4" s="41" t="s">
        <v>554</v>
      </c>
      <c r="P4" s="41" t="s">
        <v>323</v>
      </c>
    </row>
    <row r="5" spans="1:16" ht="12.75" x14ac:dyDescent="0.2">
      <c r="B5" s="44" t="s">
        <v>45</v>
      </c>
      <c r="C5" s="44" t="s">
        <v>47</v>
      </c>
      <c r="D5" s="44" t="s">
        <v>324</v>
      </c>
      <c r="E5" s="44" t="s">
        <v>324</v>
      </c>
      <c r="F5" s="44" t="s">
        <v>47</v>
      </c>
      <c r="G5" s="44" t="s">
        <v>374</v>
      </c>
      <c r="H5" s="44" t="s">
        <v>48</v>
      </c>
      <c r="I5" s="44" t="s">
        <v>48</v>
      </c>
      <c r="J5" s="274" t="s">
        <v>48</v>
      </c>
      <c r="K5" s="44" t="s">
        <v>49</v>
      </c>
      <c r="L5" s="38"/>
      <c r="M5" s="44" t="s">
        <v>42</v>
      </c>
      <c r="N5" s="45" t="s">
        <v>47</v>
      </c>
      <c r="O5" s="44" t="s">
        <v>47</v>
      </c>
      <c r="P5" s="44" t="s">
        <v>47</v>
      </c>
    </row>
    <row r="6" spans="1:16" x14ac:dyDescent="0.2">
      <c r="A6" s="26" t="s">
        <v>50</v>
      </c>
      <c r="B6" s="27">
        <v>20855682.049094308</v>
      </c>
      <c r="D6" s="23"/>
      <c r="H6" s="24"/>
      <c r="I6" s="24"/>
    </row>
    <row r="7" spans="1:16" x14ac:dyDescent="0.2">
      <c r="A7" s="22" t="s">
        <v>320</v>
      </c>
      <c r="B7" s="37"/>
      <c r="D7" s="27"/>
      <c r="I7" s="24"/>
    </row>
    <row r="8" spans="1:16" x14ac:dyDescent="0.2">
      <c r="A8" s="21" t="s">
        <v>51</v>
      </c>
      <c r="C8" s="27">
        <v>137984.41500000001</v>
      </c>
      <c r="D8" s="25">
        <v>11498.70125</v>
      </c>
      <c r="E8" s="27"/>
      <c r="F8" s="27" t="s">
        <v>105</v>
      </c>
      <c r="O8" s="101">
        <v>137984.41500000001</v>
      </c>
      <c r="P8" s="27">
        <v>11498.70125</v>
      </c>
    </row>
    <row r="9" spans="1:16" x14ac:dyDescent="0.2">
      <c r="A9" s="21" t="s">
        <v>52</v>
      </c>
      <c r="C9" s="27">
        <v>7310.98</v>
      </c>
      <c r="D9" s="25">
        <v>609.24833333333333</v>
      </c>
      <c r="E9" s="27"/>
      <c r="F9" s="27" t="s">
        <v>105</v>
      </c>
      <c r="O9" s="101">
        <v>7310.98</v>
      </c>
      <c r="P9" s="27">
        <v>609.24833333333333</v>
      </c>
    </row>
    <row r="10" spans="1:16" x14ac:dyDescent="0.2">
      <c r="A10" s="21" t="s">
        <v>53</v>
      </c>
      <c r="C10" s="27">
        <v>134659.41</v>
      </c>
      <c r="D10" s="25">
        <v>11221.6175</v>
      </c>
      <c r="E10" s="27"/>
      <c r="F10" s="27" t="s">
        <v>105</v>
      </c>
      <c r="O10" s="101">
        <v>134659.41</v>
      </c>
      <c r="P10" s="27">
        <v>11221.6175</v>
      </c>
    </row>
    <row r="11" spans="1:16" x14ac:dyDescent="0.2">
      <c r="A11" s="21" t="s">
        <v>54</v>
      </c>
      <c r="C11" s="27">
        <v>437670.34</v>
      </c>
      <c r="D11" s="25">
        <v>36472.528333333335</v>
      </c>
      <c r="E11" s="27"/>
      <c r="F11" s="27" t="s">
        <v>105</v>
      </c>
      <c r="O11" s="101">
        <v>437670.34</v>
      </c>
      <c r="P11" s="27">
        <v>36472.528333333335</v>
      </c>
    </row>
    <row r="12" spans="1:16" x14ac:dyDescent="0.2">
      <c r="B12" s="21" t="s">
        <v>372</v>
      </c>
      <c r="D12" s="25"/>
      <c r="P12" s="27"/>
    </row>
    <row r="13" spans="1:16" x14ac:dyDescent="0.2">
      <c r="A13" s="22" t="s">
        <v>55</v>
      </c>
      <c r="B13" s="37"/>
      <c r="D13" s="25"/>
      <c r="E13" s="240"/>
      <c r="K13" s="25"/>
      <c r="P13" s="27"/>
    </row>
    <row r="14" spans="1:16" hidden="1" x14ac:dyDescent="0.2">
      <c r="A14" s="21" t="s">
        <v>331</v>
      </c>
      <c r="B14" s="37"/>
      <c r="D14" s="25"/>
      <c r="K14" s="25"/>
      <c r="L14" s="28">
        <v>0.55030245799760535</v>
      </c>
      <c r="M14" s="28"/>
      <c r="P14" s="27">
        <v>0</v>
      </c>
    </row>
    <row r="15" spans="1:16" hidden="1" x14ac:dyDescent="0.2">
      <c r="A15" s="21" t="s">
        <v>329</v>
      </c>
      <c r="B15" s="37"/>
      <c r="D15" s="25"/>
      <c r="K15" s="25"/>
      <c r="L15" s="29">
        <v>0</v>
      </c>
      <c r="M15" s="29"/>
      <c r="P15" s="27">
        <v>0</v>
      </c>
    </row>
    <row r="16" spans="1:16" x14ac:dyDescent="0.2">
      <c r="A16" s="21" t="s">
        <v>56</v>
      </c>
      <c r="C16" s="25">
        <v>11077288.11528459</v>
      </c>
      <c r="D16" s="25">
        <v>923107.34294038254</v>
      </c>
      <c r="E16" s="31">
        <v>0.55295633857786264</v>
      </c>
      <c r="F16" s="27" t="s">
        <v>105</v>
      </c>
      <c r="G16" s="27" t="s">
        <v>105</v>
      </c>
      <c r="H16" s="30">
        <v>-1.054687446865088E-2</v>
      </c>
      <c r="I16" s="30">
        <v>-1.7246599011527787E-2</v>
      </c>
      <c r="J16" s="30">
        <v>0.97220652651982131</v>
      </c>
      <c r="K16" s="25">
        <v>10769411.801820129</v>
      </c>
      <c r="L16" s="30">
        <v>0.55030245799760535</v>
      </c>
      <c r="M16" s="132">
        <v>0.55030245799760535</v>
      </c>
      <c r="N16" s="25">
        <v>57898.874212619216</v>
      </c>
      <c r="O16" s="101">
        <v>11135187.004094312</v>
      </c>
      <c r="P16" s="27">
        <v>927932.2503411927</v>
      </c>
    </row>
    <row r="17" spans="1:16" x14ac:dyDescent="0.2">
      <c r="C17" s="25"/>
      <c r="D17" s="25"/>
      <c r="E17" s="31"/>
      <c r="F17" s="27"/>
      <c r="G17" s="27"/>
      <c r="H17" s="30"/>
      <c r="I17" s="30"/>
      <c r="J17" s="30"/>
      <c r="K17" s="25"/>
      <c r="L17" s="30"/>
      <c r="M17" s="30"/>
      <c r="O17" s="101"/>
      <c r="P17" s="27"/>
    </row>
    <row r="18" spans="1:16" x14ac:dyDescent="0.2">
      <c r="A18" s="21" t="s">
        <v>57</v>
      </c>
      <c r="C18" s="25">
        <v>265929.08968000003</v>
      </c>
      <c r="D18" s="25">
        <v>22160.757473333335</v>
      </c>
      <c r="E18" s="31">
        <v>1.3274654790995211E-2</v>
      </c>
      <c r="F18" s="27" t="s">
        <v>105</v>
      </c>
      <c r="G18" s="27" t="s">
        <v>105</v>
      </c>
      <c r="H18" s="30">
        <v>2.1709315292431079E-2</v>
      </c>
      <c r="I18" s="30">
        <v>1.7596942332025967E-2</v>
      </c>
      <c r="J18" s="30">
        <v>1.0393062576244569</v>
      </c>
      <c r="K18" s="25">
        <v>276381.76698879944</v>
      </c>
      <c r="L18" s="30">
        <v>1.4122736554094122E-2</v>
      </c>
      <c r="M18" s="132">
        <v>1.4122736554094123E-2</v>
      </c>
      <c r="N18" s="25">
        <v>1485.8929583175025</v>
      </c>
      <c r="O18" s="101">
        <v>267414.98</v>
      </c>
      <c r="P18" s="27">
        <v>22284.581666666665</v>
      </c>
    </row>
    <row r="19" spans="1:16" x14ac:dyDescent="0.2">
      <c r="A19" s="21" t="s">
        <v>58</v>
      </c>
      <c r="C19" s="25">
        <v>10911.585999999999</v>
      </c>
      <c r="D19" s="25">
        <v>909.29883333333328</v>
      </c>
      <c r="E19" s="31">
        <v>5.4468481634166227E-4</v>
      </c>
      <c r="F19" s="27" t="s">
        <v>105</v>
      </c>
      <c r="G19" s="27" t="s">
        <v>105</v>
      </c>
      <c r="H19" s="30">
        <v>-3.1614086973392096E-2</v>
      </c>
      <c r="I19" s="30">
        <v>6.258196069526367E-3</v>
      </c>
      <c r="J19" s="30">
        <v>0.9746441090961343</v>
      </c>
      <c r="K19" s="25">
        <v>10634.913015795852</v>
      </c>
      <c r="L19" s="30">
        <v>5.4342975093533627E-4</v>
      </c>
      <c r="M19" s="132">
        <v>5.4342975093533638E-4</v>
      </c>
      <c r="N19" s="25">
        <v>57.175777312150302</v>
      </c>
      <c r="O19" s="101">
        <v>10968.76</v>
      </c>
      <c r="P19" s="27">
        <v>914.06333333333339</v>
      </c>
    </row>
    <row r="20" spans="1:16" x14ac:dyDescent="0.2">
      <c r="A20" s="21" t="s">
        <v>59</v>
      </c>
      <c r="C20" s="25">
        <v>352039.91567999998</v>
      </c>
      <c r="D20" s="25">
        <v>29336.659639999998</v>
      </c>
      <c r="E20" s="31">
        <v>1.7573137105558721E-2</v>
      </c>
      <c r="F20" s="27" t="s">
        <v>105</v>
      </c>
      <c r="G20" s="27" t="s">
        <v>105</v>
      </c>
      <c r="H20" s="30">
        <v>-9.5143008307781631E-3</v>
      </c>
      <c r="I20" s="30">
        <v>-8.0442048410533339E-3</v>
      </c>
      <c r="J20" s="30">
        <v>0.98244149432816852</v>
      </c>
      <c r="K20" s="25">
        <v>345858.62082382163</v>
      </c>
      <c r="L20" s="30">
        <v>1.7672910337298446E-2</v>
      </c>
      <c r="M20" s="132">
        <v>1.767291033729845E-2</v>
      </c>
      <c r="N20" s="25">
        <v>1859.416758401238</v>
      </c>
      <c r="O20" s="101">
        <v>353899.33</v>
      </c>
      <c r="P20" s="27">
        <v>29491.610833333336</v>
      </c>
    </row>
    <row r="21" spans="1:16" x14ac:dyDescent="0.2">
      <c r="C21" s="25"/>
      <c r="D21" s="25"/>
      <c r="E21" s="31"/>
      <c r="F21" s="27"/>
      <c r="G21" s="27"/>
      <c r="J21" s="30"/>
      <c r="K21" s="25"/>
      <c r="O21" s="101"/>
      <c r="P21" s="27"/>
    </row>
    <row r="22" spans="1:16" x14ac:dyDescent="0.2">
      <c r="A22" s="22" t="s">
        <v>60</v>
      </c>
      <c r="B22" s="37"/>
      <c r="C22" s="25"/>
      <c r="D22" s="25"/>
      <c r="E22" s="31"/>
      <c r="F22" s="27"/>
      <c r="G22" s="27"/>
      <c r="J22" s="30"/>
      <c r="K22" s="25"/>
      <c r="O22" s="101"/>
      <c r="P22" s="27"/>
    </row>
    <row r="23" spans="1:16" x14ac:dyDescent="0.2">
      <c r="A23" s="21" t="s">
        <v>61</v>
      </c>
      <c r="C23" s="25">
        <v>24152.098000000002</v>
      </c>
      <c r="D23" s="25">
        <v>2012.6748333333335</v>
      </c>
      <c r="E23" s="31">
        <v>1.2056250176093403E-3</v>
      </c>
      <c r="F23" s="27" t="s">
        <v>105</v>
      </c>
      <c r="G23" s="27" t="s">
        <v>105</v>
      </c>
      <c r="I23" s="30">
        <v>-1.7086530241269708E-2</v>
      </c>
      <c r="J23" s="30">
        <v>0.98291346975873028</v>
      </c>
      <c r="K23" s="25">
        <v>23739.422447132893</v>
      </c>
      <c r="L23" s="30">
        <v>1.2130525570479946E-3</v>
      </c>
      <c r="M23" s="132">
        <v>1.2130525570479948E-3</v>
      </c>
      <c r="N23" s="25">
        <v>127.62868199677125</v>
      </c>
      <c r="O23" s="101">
        <v>24279.73</v>
      </c>
      <c r="P23" s="27">
        <v>2023.3108333333332</v>
      </c>
    </row>
    <row r="24" spans="1:16" x14ac:dyDescent="0.2">
      <c r="A24" s="21" t="s">
        <v>62</v>
      </c>
      <c r="C24" s="25">
        <v>18257.032320000002</v>
      </c>
      <c r="D24" s="25">
        <v>1521.4193600000001</v>
      </c>
      <c r="E24" s="31">
        <v>9.1135498507393829E-4</v>
      </c>
      <c r="F24" s="27" t="s">
        <v>105</v>
      </c>
      <c r="G24" s="27" t="s">
        <v>105</v>
      </c>
      <c r="I24" s="30">
        <v>4.8485934538457023E-3</v>
      </c>
      <c r="J24" s="30">
        <v>1.0048485934538458</v>
      </c>
      <c r="K24" s="25">
        <v>18345.553247393407</v>
      </c>
      <c r="L24" s="30">
        <v>9.3743309580382971E-4</v>
      </c>
      <c r="M24" s="132">
        <v>9.3743309580382982E-4</v>
      </c>
      <c r="N24" s="25">
        <v>98.629980854870794</v>
      </c>
      <c r="O24" s="101">
        <v>18355.66</v>
      </c>
      <c r="P24" s="27">
        <v>1529.6383333333333</v>
      </c>
    </row>
    <row r="25" spans="1:16" x14ac:dyDescent="0.2">
      <c r="A25" s="21" t="s">
        <v>63</v>
      </c>
      <c r="C25" s="25">
        <v>132990.70176</v>
      </c>
      <c r="D25" s="25">
        <v>11082.55848</v>
      </c>
      <c r="E25" s="31">
        <v>6.6386330972687552E-3</v>
      </c>
      <c r="F25" s="27" t="s">
        <v>105</v>
      </c>
      <c r="G25" s="27" t="s">
        <v>105</v>
      </c>
      <c r="I25" s="30">
        <v>-1.0136658359331085E-2</v>
      </c>
      <c r="J25" s="30">
        <v>0.98986334164066891</v>
      </c>
      <c r="K25" s="25">
        <v>131642.62045129118</v>
      </c>
      <c r="L25" s="30">
        <v>6.7267608430896658E-3</v>
      </c>
      <c r="M25" s="132">
        <v>6.7267608430896667E-3</v>
      </c>
      <c r="N25" s="25">
        <v>707.74148698081183</v>
      </c>
      <c r="O25" s="101">
        <v>133698.44</v>
      </c>
      <c r="P25" s="27">
        <v>11141.536666666667</v>
      </c>
    </row>
    <row r="26" spans="1:16" x14ac:dyDescent="0.2">
      <c r="A26" s="21" t="s">
        <v>64</v>
      </c>
      <c r="C26" s="25">
        <v>1685473.26608</v>
      </c>
      <c r="D26" s="25">
        <v>140456.10550666667</v>
      </c>
      <c r="E26" s="31">
        <v>8.4135495645047978E-2</v>
      </c>
      <c r="F26" s="27" t="s">
        <v>105</v>
      </c>
      <c r="G26" s="27" t="s">
        <v>105</v>
      </c>
      <c r="I26" s="30">
        <v>-1.0209396863541449E-2</v>
      </c>
      <c r="J26" s="30">
        <v>0.9897906031364585</v>
      </c>
      <c r="K26" s="25">
        <v>1668265.6006036997</v>
      </c>
      <c r="L26" s="30">
        <v>8.5246128340074098E-2</v>
      </c>
      <c r="M26" s="132">
        <v>8.5246128340074112E-2</v>
      </c>
      <c r="N26" s="25">
        <v>8968.9856735043377</v>
      </c>
      <c r="O26" s="101">
        <v>1694442.25</v>
      </c>
      <c r="P26" s="27">
        <v>141203.52083333334</v>
      </c>
    </row>
    <row r="27" spans="1:16" x14ac:dyDescent="0.2">
      <c r="A27" s="21" t="s">
        <v>65</v>
      </c>
      <c r="C27" s="25">
        <v>778106.07903999998</v>
      </c>
      <c r="D27" s="25">
        <v>64842.173253333334</v>
      </c>
      <c r="E27" s="31">
        <v>3.8841518250072295E-2</v>
      </c>
      <c r="F27" s="27" t="s">
        <v>105</v>
      </c>
      <c r="G27" s="27" t="s">
        <v>105</v>
      </c>
      <c r="I27" s="30">
        <v>-2.9287905653124446E-3</v>
      </c>
      <c r="J27" s="30">
        <v>0.99707120943468752</v>
      </c>
      <c r="K27" s="25">
        <v>775827.16929689539</v>
      </c>
      <c r="L27" s="30">
        <v>3.964372484792987E-2</v>
      </c>
      <c r="M27" s="132">
        <v>3.9643724847929877E-2</v>
      </c>
      <c r="N27" s="25">
        <v>4171.0281408555275</v>
      </c>
      <c r="O27" s="101">
        <v>782277.11</v>
      </c>
      <c r="P27" s="27">
        <v>65189.759166666663</v>
      </c>
    </row>
    <row r="28" spans="1:16" x14ac:dyDescent="0.2">
      <c r="A28" s="21" t="s">
        <v>66</v>
      </c>
      <c r="C28" s="25">
        <v>267071.40895999997</v>
      </c>
      <c r="D28" s="25">
        <v>22255.950746666666</v>
      </c>
      <c r="E28" s="31">
        <v>1.3331677112702642E-2</v>
      </c>
      <c r="F28" s="27" t="s">
        <v>105</v>
      </c>
      <c r="G28" s="27" t="s">
        <v>105</v>
      </c>
      <c r="I28" s="30">
        <v>-1.4909283406454806E-2</v>
      </c>
      <c r="J28" s="30">
        <v>0.98509071659354519</v>
      </c>
      <c r="K28" s="25">
        <v>263089.56563405413</v>
      </c>
      <c r="L28" s="30">
        <v>1.3443522943144711E-2</v>
      </c>
      <c r="M28" s="132">
        <v>1.3443522943144713E-2</v>
      </c>
      <c r="N28" s="25">
        <v>1414.4309779968005</v>
      </c>
      <c r="O28" s="101">
        <v>268485.84000000003</v>
      </c>
      <c r="P28" s="27">
        <v>22373.820000000003</v>
      </c>
    </row>
    <row r="29" spans="1:16" x14ac:dyDescent="0.2">
      <c r="A29" s="21" t="s">
        <v>67</v>
      </c>
      <c r="C29" s="25">
        <v>535561.99719999998</v>
      </c>
      <c r="D29" s="25">
        <v>44630.166433333332</v>
      </c>
      <c r="E29" s="31">
        <v>2.6734196851351935E-2</v>
      </c>
      <c r="F29" s="27" t="s">
        <v>105</v>
      </c>
      <c r="G29" s="27" t="s">
        <v>105</v>
      </c>
      <c r="I29" s="30">
        <v>-1.3537660283096104E-2</v>
      </c>
      <c r="J29" s="30">
        <v>0.98646233971690389</v>
      </c>
      <c r="K29" s="25">
        <v>528311.74082136992</v>
      </c>
      <c r="L29" s="30">
        <v>2.6996019366058364E-2</v>
      </c>
      <c r="M29" s="132">
        <v>2.6996019366058367E-2</v>
      </c>
      <c r="N29" s="25">
        <v>2840.3273632545674</v>
      </c>
      <c r="O29" s="101">
        <v>538402.31999999995</v>
      </c>
      <c r="P29" s="27">
        <v>44866.859999999993</v>
      </c>
    </row>
    <row r="30" spans="1:16" x14ac:dyDescent="0.2">
      <c r="A30" s="21" t="s">
        <v>68</v>
      </c>
      <c r="C30" s="25">
        <v>17256.556799999998</v>
      </c>
      <c r="D30" s="25">
        <v>1438.0463999999999</v>
      </c>
      <c r="E30" s="31">
        <v>8.6141322364113372E-4</v>
      </c>
      <c r="F30" s="27" t="s">
        <v>105</v>
      </c>
      <c r="G30" s="27" t="s">
        <v>105</v>
      </c>
      <c r="I30" s="30">
        <v>-1.5626970736141912E-2</v>
      </c>
      <c r="J30" s="30">
        <v>0.98437302926385806</v>
      </c>
      <c r="K30" s="25">
        <v>16986.889091879828</v>
      </c>
      <c r="L30" s="30">
        <v>8.6800718488769235E-4</v>
      </c>
      <c r="M30" s="132">
        <v>8.6800718488769246E-4</v>
      </c>
      <c r="N30" s="25">
        <v>91.325484891221237</v>
      </c>
      <c r="O30" s="101">
        <v>17347.88</v>
      </c>
      <c r="P30" s="27">
        <v>1445.6566666666668</v>
      </c>
    </row>
    <row r="31" spans="1:16" x14ac:dyDescent="0.2">
      <c r="A31" s="21" t="s">
        <v>69</v>
      </c>
      <c r="C31" s="25">
        <v>7420.2543999999998</v>
      </c>
      <c r="D31" s="25">
        <v>618.35453333333328</v>
      </c>
      <c r="E31" s="31">
        <v>3.7040444029606801E-4</v>
      </c>
      <c r="F31" s="27" t="s">
        <v>105</v>
      </c>
      <c r="G31" s="27" t="s">
        <v>105</v>
      </c>
      <c r="I31" s="30">
        <v>8.2527667033837628E-4</v>
      </c>
      <c r="J31" s="30">
        <v>1.0008252766703383</v>
      </c>
      <c r="K31" s="25">
        <v>7426.3781628442948</v>
      </c>
      <c r="L31" s="30">
        <v>3.7947793549339973E-4</v>
      </c>
      <c r="M31" s="132">
        <v>3.7947793549339979E-4</v>
      </c>
      <c r="N31" s="25">
        <v>39.925944240816733</v>
      </c>
      <c r="O31" s="101">
        <v>7460.18</v>
      </c>
      <c r="P31" s="27">
        <v>621.68166666666673</v>
      </c>
    </row>
    <row r="32" spans="1:16" x14ac:dyDescent="0.2">
      <c r="A32" s="21" t="s">
        <v>70</v>
      </c>
      <c r="C32" s="25">
        <v>53509.40784</v>
      </c>
      <c r="D32" s="25">
        <v>4459.1173200000003</v>
      </c>
      <c r="E32" s="31">
        <v>2.6710839269269843E-3</v>
      </c>
      <c r="F32" s="27" t="s">
        <v>105</v>
      </c>
      <c r="G32" s="27" t="s">
        <v>105</v>
      </c>
      <c r="I32" s="30">
        <v>-3.698949481862783E-2</v>
      </c>
      <c r="J32" s="30">
        <v>0.96301050518137221</v>
      </c>
      <c r="K32" s="25">
        <v>51530.121875954479</v>
      </c>
      <c r="L32" s="30">
        <v>2.6331199188112863E-3</v>
      </c>
      <c r="M32" s="132">
        <v>2.6331199188112868E-3</v>
      </c>
      <c r="N32" s="25">
        <v>277.03797566294026</v>
      </c>
      <c r="O32" s="101">
        <v>53786.45</v>
      </c>
      <c r="P32" s="27">
        <v>4482.2041666666664</v>
      </c>
    </row>
    <row r="33" spans="1:16" x14ac:dyDescent="0.2">
      <c r="A33" s="21" t="s">
        <v>71</v>
      </c>
      <c r="C33" s="25">
        <v>19548.114320000001</v>
      </c>
      <c r="D33" s="25">
        <v>1629.0095266666667</v>
      </c>
      <c r="E33" s="31">
        <v>9.7580324787020138E-4</v>
      </c>
      <c r="F33" s="27" t="s">
        <v>105</v>
      </c>
      <c r="G33" s="27" t="s">
        <v>105</v>
      </c>
      <c r="I33" s="30">
        <v>-1.4041227291990765E-2</v>
      </c>
      <c r="J33" s="30">
        <v>0.98595877270800925</v>
      </c>
      <c r="K33" s="25">
        <v>19273.634803703062</v>
      </c>
      <c r="L33" s="30">
        <v>9.8485681504289981E-4</v>
      </c>
      <c r="M33" s="132">
        <v>9.8485681504290002E-4</v>
      </c>
      <c r="N33" s="25">
        <v>103.61956415585878</v>
      </c>
      <c r="O33" s="101">
        <v>19651.73</v>
      </c>
      <c r="P33" s="27">
        <v>1637.6441666666667</v>
      </c>
    </row>
    <row r="34" spans="1:16" x14ac:dyDescent="0.2">
      <c r="A34" s="21" t="s">
        <v>72</v>
      </c>
      <c r="C34" s="25">
        <v>396707.11616000003</v>
      </c>
      <c r="D34" s="25">
        <v>33058.926346666667</v>
      </c>
      <c r="E34" s="31">
        <v>1.9802835509617037E-2</v>
      </c>
      <c r="F34" s="27" t="s">
        <v>105</v>
      </c>
      <c r="G34" s="27" t="s">
        <v>105</v>
      </c>
      <c r="I34" s="30">
        <v>-1.1917715655938368E-2</v>
      </c>
      <c r="J34" s="30">
        <v>0.98808228434406165</v>
      </c>
      <c r="K34" s="25">
        <v>391979.27355091786</v>
      </c>
      <c r="L34" s="30">
        <v>2.0029613658447843E-2</v>
      </c>
      <c r="M34" s="132">
        <v>2.0029613658447847E-2</v>
      </c>
      <c r="N34" s="25">
        <v>2107.3721639507526</v>
      </c>
      <c r="O34" s="101">
        <v>398814.49</v>
      </c>
      <c r="P34" s="27">
        <v>33234.540833333333</v>
      </c>
    </row>
    <row r="35" spans="1:16" x14ac:dyDescent="0.2">
      <c r="A35" s="21" t="s">
        <v>73</v>
      </c>
      <c r="C35" s="25">
        <v>0</v>
      </c>
      <c r="D35" s="25">
        <v>0</v>
      </c>
      <c r="E35" s="31">
        <v>0</v>
      </c>
      <c r="F35" s="27" t="s">
        <v>105</v>
      </c>
      <c r="G35" s="27" t="s">
        <v>105</v>
      </c>
      <c r="I35" s="30"/>
      <c r="J35" s="30"/>
      <c r="K35" s="25">
        <v>0</v>
      </c>
      <c r="L35" s="30">
        <v>0</v>
      </c>
      <c r="M35" s="132">
        <v>0</v>
      </c>
      <c r="N35" s="25">
        <v>0</v>
      </c>
      <c r="O35" s="101">
        <v>0</v>
      </c>
      <c r="P35" s="27">
        <v>0</v>
      </c>
    </row>
    <row r="36" spans="1:16" x14ac:dyDescent="0.2">
      <c r="A36" s="21" t="s">
        <v>74</v>
      </c>
      <c r="C36" s="25">
        <v>75702.403839999999</v>
      </c>
      <c r="D36" s="25">
        <v>6308.5336533333329</v>
      </c>
      <c r="E36" s="31">
        <v>3.778914443071131E-3</v>
      </c>
      <c r="F36" s="27" t="s">
        <v>105</v>
      </c>
      <c r="G36" s="27" t="s">
        <v>105</v>
      </c>
      <c r="I36" s="30">
        <v>-3.4573110534203165E-2</v>
      </c>
      <c r="J36" s="30">
        <v>0.9654268894657968</v>
      </c>
      <c r="K36" s="25">
        <v>73085.136264334797</v>
      </c>
      <c r="L36" s="30">
        <v>3.734552162129783E-3</v>
      </c>
      <c r="M36" s="132">
        <v>3.7345521621297835E-3</v>
      </c>
      <c r="N36" s="25">
        <v>392.92276953005791</v>
      </c>
      <c r="O36" s="101">
        <v>76095.33</v>
      </c>
      <c r="P36" s="27">
        <v>6341.2775000000001</v>
      </c>
    </row>
    <row r="37" spans="1:16" x14ac:dyDescent="0.2">
      <c r="A37" s="21" t="s">
        <v>75</v>
      </c>
      <c r="C37" s="25">
        <v>4128951.93512</v>
      </c>
      <c r="D37" s="25">
        <v>344079.32792666665</v>
      </c>
      <c r="E37" s="31">
        <v>0.20610912350087224</v>
      </c>
      <c r="F37" s="27" t="s">
        <v>105</v>
      </c>
      <c r="G37" s="27" t="s">
        <v>105</v>
      </c>
      <c r="I37" s="30">
        <v>-2.6732043577884546E-2</v>
      </c>
      <c r="J37" s="30">
        <v>0.9732679564221155</v>
      </c>
      <c r="K37" s="25">
        <v>4018576.6120593818</v>
      </c>
      <c r="L37" s="30">
        <v>0.2053438598098937</v>
      </c>
      <c r="M37" s="132">
        <v>0.20534385980989373</v>
      </c>
      <c r="N37" s="25">
        <v>21604.806841546921</v>
      </c>
      <c r="O37" s="101">
        <v>4150556.74</v>
      </c>
      <c r="P37" s="27">
        <v>345879.72833333333</v>
      </c>
    </row>
    <row r="38" spans="1:16" x14ac:dyDescent="0.2">
      <c r="A38" s="21" t="s">
        <v>76</v>
      </c>
      <c r="C38" s="25">
        <v>66142.565199999997</v>
      </c>
      <c r="D38" s="25">
        <v>5511.8804333333328</v>
      </c>
      <c r="E38" s="31">
        <v>3.3017061844472862E-3</v>
      </c>
      <c r="F38" s="27" t="s">
        <v>105</v>
      </c>
      <c r="G38" s="27" t="s">
        <v>105</v>
      </c>
      <c r="I38" s="30">
        <v>-6.0492141934195186E-2</v>
      </c>
      <c r="J38" s="30">
        <v>0.93950785806580484</v>
      </c>
      <c r="K38" s="25">
        <v>62141.459758029843</v>
      </c>
      <c r="L38" s="30">
        <v>3.1753450121225343E-3</v>
      </c>
      <c r="M38" s="132">
        <v>3.1753450121225347E-3</v>
      </c>
      <c r="N38" s="25">
        <v>334.08700754767568</v>
      </c>
      <c r="O38" s="101">
        <v>66476.649999999994</v>
      </c>
      <c r="P38" s="27">
        <v>5539.7208333333328</v>
      </c>
    </row>
    <row r="39" spans="1:16" x14ac:dyDescent="0.2">
      <c r="A39" s="21" t="s">
        <v>77</v>
      </c>
      <c r="C39" s="25">
        <v>28128.884559999999</v>
      </c>
      <c r="D39" s="25">
        <v>2344.0737133333332</v>
      </c>
      <c r="E39" s="31">
        <v>1.4041383462000318E-3</v>
      </c>
      <c r="F39" s="27" t="s">
        <v>105</v>
      </c>
      <c r="G39" s="27" t="s">
        <v>105</v>
      </c>
      <c r="I39" s="30">
        <v>-2.1217341782966581E-2</v>
      </c>
      <c r="J39" s="30">
        <v>0.97878265821703336</v>
      </c>
      <c r="K39" s="25">
        <v>27532.064402316864</v>
      </c>
      <c r="L39" s="30">
        <v>1.4068514597782111E-3</v>
      </c>
      <c r="M39" s="132">
        <v>1.4068514597782114E-3</v>
      </c>
      <c r="N39" s="25">
        <v>148.01881133137303</v>
      </c>
      <c r="O39" s="101">
        <v>28276.9</v>
      </c>
      <c r="P39" s="27">
        <v>2356.4083333333333</v>
      </c>
    </row>
    <row r="40" spans="1:16" x14ac:dyDescent="0.2">
      <c r="A40" s="21" t="s">
        <v>78</v>
      </c>
      <c r="C40" s="25">
        <v>88449.698639999988</v>
      </c>
      <c r="D40" s="25">
        <v>7370.808219999999</v>
      </c>
      <c r="E40" s="31">
        <v>4.4152342161078847E-3</v>
      </c>
      <c r="F40" s="27" t="s">
        <v>105</v>
      </c>
      <c r="G40" s="27" t="s">
        <v>105</v>
      </c>
      <c r="I40" s="30">
        <v>-1.8711854817104679E-2</v>
      </c>
      <c r="J40" s="30">
        <v>0.98128814518289531</v>
      </c>
      <c r="K40" s="25">
        <v>86794.640720431649</v>
      </c>
      <c r="L40" s="30">
        <v>4.4350894002771956E-3</v>
      </c>
      <c r="M40" s="132">
        <v>4.4350894002771965E-3</v>
      </c>
      <c r="N40" s="25">
        <v>466.6282688300978</v>
      </c>
      <c r="O40" s="101">
        <v>88916.33</v>
      </c>
      <c r="P40" s="27">
        <v>7409.6941666666671</v>
      </c>
    </row>
    <row r="41" spans="1:16" ht="14.25" x14ac:dyDescent="0.35">
      <c r="A41" s="21" t="s">
        <v>79</v>
      </c>
      <c r="C41" s="97">
        <v>3245.8558399999997</v>
      </c>
      <c r="D41" s="97">
        <v>270.48798666666664</v>
      </c>
      <c r="E41" s="99">
        <v>1.6202671106490952E-4</v>
      </c>
      <c r="F41" s="133" t="s">
        <v>105</v>
      </c>
      <c r="G41" s="133" t="s">
        <v>105</v>
      </c>
      <c r="I41" s="30">
        <v>-2.8993672247787733E-2</v>
      </c>
      <c r="J41" s="30">
        <v>0.97100632775221229</v>
      </c>
      <c r="K41" s="97">
        <v>3151.7465596114721</v>
      </c>
      <c r="L41" s="98">
        <v>1.6105001003365456E-4</v>
      </c>
      <c r="M41" s="131">
        <v>1.6105001003365458E-4</v>
      </c>
      <c r="N41" s="133">
        <v>16.944525937262313</v>
      </c>
      <c r="O41" s="134">
        <v>3262.8</v>
      </c>
      <c r="P41" s="133">
        <v>271.90000000000003</v>
      </c>
    </row>
    <row r="42" spans="1:16" ht="12.75" thickBot="1" x14ac:dyDescent="0.25">
      <c r="A42" s="32" t="s">
        <v>80</v>
      </c>
      <c r="C42" s="33">
        <v>20750469.227724589</v>
      </c>
      <c r="D42" s="33">
        <v>1729205.7689770495</v>
      </c>
      <c r="E42" s="34">
        <v>0.99999999999999967</v>
      </c>
      <c r="F42" s="33">
        <v>0</v>
      </c>
      <c r="G42" s="35">
        <v>105212.82136971876</v>
      </c>
      <c r="K42" s="33">
        <v>19569986.732399788</v>
      </c>
      <c r="L42" s="34">
        <v>0.99999999999999989</v>
      </c>
      <c r="M42" s="34">
        <v>1.0000000000000002</v>
      </c>
      <c r="N42" s="33">
        <v>105212.82136971879</v>
      </c>
      <c r="O42" s="102">
        <v>20855682.049094308</v>
      </c>
      <c r="P42" s="33">
        <v>1737973.504091193</v>
      </c>
    </row>
    <row r="43" spans="1:16" ht="26.25" thickTop="1" x14ac:dyDescent="0.2">
      <c r="A43" s="129" t="s">
        <v>536</v>
      </c>
    </row>
    <row r="44" spans="1:16" x14ac:dyDescent="0.2">
      <c r="D44" s="27"/>
      <c r="G44" s="27"/>
    </row>
    <row r="46" spans="1:16" x14ac:dyDescent="0.2">
      <c r="C46" s="27"/>
    </row>
    <row r="47" spans="1:16" x14ac:dyDescent="0.2">
      <c r="A47" s="36"/>
      <c r="B47" s="36"/>
    </row>
    <row r="48" spans="1:16" x14ac:dyDescent="0.2">
      <c r="A48" s="36"/>
      <c r="B48" s="36"/>
      <c r="C48" s="27"/>
    </row>
    <row r="49" spans="1:2" x14ac:dyDescent="0.2">
      <c r="A49" s="36"/>
      <c r="B49" s="36"/>
    </row>
    <row r="50" spans="1:2" x14ac:dyDescent="0.2">
      <c r="A50" s="36"/>
      <c r="B50" s="36"/>
    </row>
    <row r="51" spans="1:2" x14ac:dyDescent="0.2">
      <c r="A51" s="36"/>
      <c r="B51" s="36"/>
    </row>
    <row r="52" spans="1:2" x14ac:dyDescent="0.2">
      <c r="A52" s="36"/>
      <c r="B52" s="36"/>
    </row>
  </sheetData>
  <phoneticPr fontId="0" type="noConversion"/>
  <printOptions horizontalCentered="1" verticalCentered="1"/>
  <pageMargins left="0.75" right="0.75" top="1" bottom="1" header="0.5" footer="0.5"/>
  <pageSetup scale="82" firstPageNumber="16"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37"/>
  <sheetViews>
    <sheetView zoomScaleNormal="100" workbookViewId="0">
      <pane xSplit="1" ySplit="5" topLeftCell="B6" activePane="bottomRight" state="frozen"/>
      <selection sqref="A1:XFD1048576"/>
      <selection pane="topRight" sqref="A1:XFD1048576"/>
      <selection pane="bottomLeft" sqref="A1:XFD1048576"/>
      <selection pane="bottomRight" activeCell="B6" sqref="B6"/>
    </sheetView>
  </sheetViews>
  <sheetFormatPr defaultColWidth="13" defaultRowHeight="12.75" x14ac:dyDescent="0.2"/>
  <cols>
    <col min="1" max="1" width="41.42578125" style="38" customWidth="1"/>
    <col min="2" max="2" width="15.28515625" style="38" customWidth="1"/>
    <col min="3" max="3" width="15.85546875" style="38" bestFit="1" customWidth="1"/>
    <col min="4" max="4" width="13" style="38" hidden="1" customWidth="1"/>
    <col min="5" max="5" width="14.42578125" style="38" customWidth="1"/>
    <col min="6" max="6" width="14.28515625" style="38" customWidth="1"/>
    <col min="7" max="7" width="15" style="38" bestFit="1" customWidth="1"/>
    <col min="8" max="8" width="13.28515625" style="56" bestFit="1" customWidth="1"/>
    <col min="9" max="9" width="10.140625" style="56" bestFit="1" customWidth="1"/>
    <col min="10" max="10" width="9.28515625" style="38" bestFit="1" customWidth="1"/>
    <col min="11" max="11" width="12.85546875" style="38" customWidth="1"/>
    <col min="12" max="12" width="9.85546875" style="38" hidden="1" customWidth="1"/>
    <col min="13" max="13" width="13.5703125" style="38" bestFit="1" customWidth="1"/>
    <col min="14" max="14" width="14.140625" style="38" customWidth="1"/>
    <col min="15" max="16" width="13.85546875"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A5" s="39" t="s">
        <v>83</v>
      </c>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x14ac:dyDescent="0.2">
      <c r="A6" s="49" t="s">
        <v>50</v>
      </c>
      <c r="B6" s="50">
        <v>34516594.632273532</v>
      </c>
      <c r="C6" s="46"/>
      <c r="D6" s="46"/>
      <c r="E6" s="46"/>
      <c r="F6" s="46"/>
      <c r="H6" s="24"/>
      <c r="I6" s="24"/>
      <c r="O6" s="39"/>
      <c r="P6" s="39"/>
    </row>
    <row r="7" spans="1:16" x14ac:dyDescent="0.2">
      <c r="C7" s="46"/>
      <c r="D7" s="50"/>
      <c r="E7" s="46"/>
      <c r="F7" s="46"/>
      <c r="H7" s="24"/>
      <c r="I7" s="24"/>
      <c r="O7" s="39"/>
      <c r="P7" s="39"/>
    </row>
    <row r="8" spans="1:16" ht="13.5" x14ac:dyDescent="0.25">
      <c r="A8" s="39" t="s">
        <v>346</v>
      </c>
      <c r="B8" s="80"/>
      <c r="C8" s="46"/>
      <c r="E8" s="46"/>
      <c r="F8" s="46"/>
      <c r="O8" s="39"/>
      <c r="P8" s="39"/>
    </row>
    <row r="9" spans="1:16" x14ac:dyDescent="0.2">
      <c r="A9" s="38" t="s">
        <v>84</v>
      </c>
      <c r="C9" s="86">
        <v>391396.37</v>
      </c>
      <c r="D9" s="48">
        <v>32616.364166666666</v>
      </c>
      <c r="E9" s="86"/>
      <c r="F9" s="86">
        <v>391396.37</v>
      </c>
      <c r="O9" s="52">
        <v>391396.37</v>
      </c>
      <c r="P9" s="50">
        <v>32616.364166666666</v>
      </c>
    </row>
    <row r="10" spans="1:16" x14ac:dyDescent="0.2">
      <c r="A10" s="38" t="s">
        <v>85</v>
      </c>
      <c r="C10" s="48">
        <v>163451.57</v>
      </c>
      <c r="D10" s="48">
        <v>13620.964166666667</v>
      </c>
      <c r="E10" s="48"/>
      <c r="F10" s="86">
        <v>163451.57</v>
      </c>
      <c r="O10" s="52">
        <v>163451.57</v>
      </c>
      <c r="P10" s="50">
        <v>13620.964166666667</v>
      </c>
    </row>
    <row r="11" spans="1:16" x14ac:dyDescent="0.2">
      <c r="C11" s="48"/>
      <c r="D11" s="48"/>
      <c r="E11" s="48"/>
      <c r="F11" s="48"/>
      <c r="O11" s="39"/>
      <c r="P11" s="50"/>
    </row>
    <row r="12" spans="1:16" ht="13.5" x14ac:dyDescent="0.25">
      <c r="A12" s="39" t="s">
        <v>55</v>
      </c>
      <c r="B12" s="80"/>
      <c r="C12" s="48"/>
      <c r="D12" s="48"/>
      <c r="E12" s="48"/>
      <c r="F12" s="48"/>
      <c r="G12" s="48"/>
      <c r="O12" s="39"/>
      <c r="P12" s="50"/>
    </row>
    <row r="13" spans="1:16" ht="13.5" hidden="1" x14ac:dyDescent="0.25">
      <c r="A13" s="38" t="s">
        <v>332</v>
      </c>
      <c r="B13" s="80"/>
      <c r="C13" s="48"/>
      <c r="D13" s="48"/>
      <c r="E13" s="48"/>
      <c r="F13" s="48"/>
      <c r="G13" s="48"/>
      <c r="L13" s="54">
        <v>0.43270441106722313</v>
      </c>
      <c r="M13" s="54"/>
      <c r="O13" s="39"/>
      <c r="P13" s="50">
        <v>0</v>
      </c>
    </row>
    <row r="14" spans="1:16" ht="13.5" hidden="1" x14ac:dyDescent="0.25">
      <c r="A14" s="38" t="s">
        <v>329</v>
      </c>
      <c r="B14" s="80"/>
      <c r="C14" s="48"/>
      <c r="D14" s="48"/>
      <c r="E14" s="48"/>
      <c r="F14" s="48"/>
      <c r="G14" s="48"/>
      <c r="L14" s="55">
        <v>0</v>
      </c>
      <c r="M14" s="55"/>
      <c r="O14" s="39"/>
      <c r="P14" s="50">
        <v>0</v>
      </c>
    </row>
    <row r="15" spans="1:16" x14ac:dyDescent="0.2">
      <c r="A15" s="38" t="s">
        <v>86</v>
      </c>
      <c r="C15" s="48">
        <v>14344994.548861027</v>
      </c>
      <c r="D15" s="48">
        <v>1195416.2124050856</v>
      </c>
      <c r="E15" s="61">
        <v>0.42141715415310227</v>
      </c>
      <c r="F15" s="48">
        <v>14312062.641126446</v>
      </c>
      <c r="G15" s="48">
        <v>-32931.907734580338</v>
      </c>
      <c r="H15" s="56">
        <v>8.2984810872924562E-3</v>
      </c>
      <c r="I15" s="56">
        <v>8.6242133779561095E-2</v>
      </c>
      <c r="J15" s="56">
        <v>1.0945406148668535</v>
      </c>
      <c r="K15" s="87">
        <v>15701179.15377201</v>
      </c>
      <c r="L15" s="56">
        <v>0.43270441106722313</v>
      </c>
      <c r="M15" s="127">
        <v>0.43270441106722313</v>
      </c>
      <c r="N15" s="48" t="s">
        <v>105</v>
      </c>
      <c r="O15" s="52">
        <v>14312062.632273525</v>
      </c>
      <c r="P15" s="50">
        <v>1192671.8860227938</v>
      </c>
    </row>
    <row r="16" spans="1:16" x14ac:dyDescent="0.2">
      <c r="C16" s="48"/>
      <c r="D16" s="48"/>
      <c r="E16" s="61"/>
      <c r="F16" s="48"/>
      <c r="G16" s="48"/>
      <c r="J16" s="56"/>
      <c r="K16" s="87"/>
      <c r="N16" s="48"/>
      <c r="O16" s="52"/>
      <c r="P16" s="50"/>
    </row>
    <row r="17" spans="1:16" x14ac:dyDescent="0.2">
      <c r="A17" s="38" t="s">
        <v>87</v>
      </c>
      <c r="C17" s="48">
        <v>1780345.7204800001</v>
      </c>
      <c r="D17" s="48">
        <v>148362.14337333335</v>
      </c>
      <c r="E17" s="61">
        <v>5.2301743606651033E-2</v>
      </c>
      <c r="F17" s="48">
        <v>1776258.5679333191</v>
      </c>
      <c r="G17" s="48">
        <v>-4087.1525466809981</v>
      </c>
      <c r="H17" s="56">
        <v>3.4199491764608472E-2</v>
      </c>
      <c r="I17" s="56">
        <v>4.9800673585754816E-2</v>
      </c>
      <c r="J17" s="56">
        <v>1.0840001653503633</v>
      </c>
      <c r="K17" s="87">
        <v>1929895.0553811318</v>
      </c>
      <c r="L17" s="56">
        <v>5.3185438824804608E-2</v>
      </c>
      <c r="M17" s="127">
        <v>5.3185438824804622E-2</v>
      </c>
      <c r="N17" s="48" t="s">
        <v>105</v>
      </c>
      <c r="O17" s="52">
        <v>1776258.57</v>
      </c>
      <c r="P17" s="50">
        <v>148021.54750000002</v>
      </c>
    </row>
    <row r="18" spans="1:16" x14ac:dyDescent="0.2">
      <c r="A18" s="38" t="s">
        <v>88</v>
      </c>
      <c r="C18" s="48">
        <v>12844170.01392</v>
      </c>
      <c r="D18" s="48">
        <v>1070347.50116</v>
      </c>
      <c r="E18" s="61">
        <v>0.37732698721412505</v>
      </c>
      <c r="F18" s="48">
        <v>12814683.55992485</v>
      </c>
      <c r="G18" s="48">
        <v>-29486.453995149583</v>
      </c>
      <c r="H18" s="56">
        <v>2.5532979819687846E-2</v>
      </c>
      <c r="I18" s="56">
        <v>4.5376487896598275E-2</v>
      </c>
      <c r="J18" s="56">
        <v>1.070909467716286</v>
      </c>
      <c r="K18" s="87">
        <v>13754943.272864548</v>
      </c>
      <c r="L18" s="56">
        <v>0.37906863999561885</v>
      </c>
      <c r="M18" s="127">
        <v>0.37906863999561896</v>
      </c>
      <c r="N18" s="48" t="s">
        <v>105</v>
      </c>
      <c r="O18" s="52">
        <v>12814683.560000001</v>
      </c>
      <c r="P18" s="50">
        <v>1067890.2966666666</v>
      </c>
    </row>
    <row r="19" spans="1:16" x14ac:dyDescent="0.2">
      <c r="A19" s="38" t="s">
        <v>89</v>
      </c>
      <c r="C19" s="48">
        <v>1134266.6367199998</v>
      </c>
      <c r="D19" s="48">
        <v>94522.219726666648</v>
      </c>
      <c r="E19" s="61">
        <v>3.3321686980724963E-2</v>
      </c>
      <c r="F19" s="48">
        <v>1131662.6925986102</v>
      </c>
      <c r="G19" s="48">
        <v>-2603.9441213896498</v>
      </c>
      <c r="H19" s="56">
        <v>-9.5350450570268301E-3</v>
      </c>
      <c r="I19" s="56">
        <v>1.9934917982086561E-2</v>
      </c>
      <c r="J19" s="56">
        <v>1.0103998729250598</v>
      </c>
      <c r="K19" s="87">
        <v>1146062.8656050228</v>
      </c>
      <c r="L19" s="56">
        <v>3.1584026425715943E-2</v>
      </c>
      <c r="M19" s="127">
        <v>3.158402642571595E-2</v>
      </c>
      <c r="N19" s="48" t="s">
        <v>105</v>
      </c>
      <c r="O19" s="52">
        <v>1131662.69</v>
      </c>
      <c r="P19" s="50">
        <v>94305.224166666667</v>
      </c>
    </row>
    <row r="20" spans="1:16" x14ac:dyDescent="0.2">
      <c r="A20" s="38" t="s">
        <v>90</v>
      </c>
      <c r="C20" s="48">
        <v>2569881.2000799999</v>
      </c>
      <c r="D20" s="48">
        <v>214156.76667333333</v>
      </c>
      <c r="E20" s="61">
        <v>7.5496161267991621E-2</v>
      </c>
      <c r="F20" s="48">
        <v>2563981.5052225636</v>
      </c>
      <c r="G20" s="48">
        <v>-5899.6948574362323</v>
      </c>
      <c r="H20" s="56">
        <v>-2.1059554809045141E-2</v>
      </c>
      <c r="I20" s="56">
        <v>-7.0594063729924926E-3</v>
      </c>
      <c r="J20" s="56">
        <v>0.97188103881796239</v>
      </c>
      <c r="K20" s="87">
        <v>2497618.8103725021</v>
      </c>
      <c r="L20" s="56">
        <v>6.8831179227263325E-2</v>
      </c>
      <c r="M20" s="127">
        <v>6.8831179227263339E-2</v>
      </c>
      <c r="N20" s="48" t="s">
        <v>105</v>
      </c>
      <c r="O20" s="52">
        <v>2563981.5099999998</v>
      </c>
      <c r="P20" s="50">
        <v>213665.12583333332</v>
      </c>
    </row>
    <row r="21" spans="1:16" x14ac:dyDescent="0.2">
      <c r="C21" s="48"/>
      <c r="D21" s="48"/>
      <c r="E21" s="61"/>
      <c r="F21" s="48"/>
      <c r="G21" s="48"/>
      <c r="J21" s="56"/>
      <c r="K21" s="87"/>
      <c r="N21" s="48"/>
      <c r="O21" s="52"/>
      <c r="P21" s="50"/>
    </row>
    <row r="22" spans="1:16" x14ac:dyDescent="0.2">
      <c r="A22" s="38" t="s">
        <v>91</v>
      </c>
      <c r="C22" s="48">
        <v>1350674.3827199999</v>
      </c>
      <c r="D22" s="48">
        <v>112556.19855999999</v>
      </c>
      <c r="E22" s="61">
        <v>3.9679161439524838E-2</v>
      </c>
      <c r="F22" s="48">
        <v>1347573.6297709702</v>
      </c>
      <c r="G22" s="48">
        <v>-3100.7529490296729</v>
      </c>
      <c r="H22" s="56">
        <v>-5.0834204207542963E-2</v>
      </c>
      <c r="I22" s="56">
        <v>-2.9838715598945076E-2</v>
      </c>
      <c r="J22" s="56">
        <v>0.91932708019351195</v>
      </c>
      <c r="K22" s="87">
        <v>1241711.5365581515</v>
      </c>
      <c r="L22" s="56">
        <v>3.4219981434495866E-2</v>
      </c>
      <c r="M22" s="127">
        <v>3.4219981434495873E-2</v>
      </c>
      <c r="N22" s="48" t="s">
        <v>105</v>
      </c>
      <c r="O22" s="52">
        <v>1347573.63</v>
      </c>
      <c r="P22" s="50">
        <v>112297.80249999999</v>
      </c>
    </row>
    <row r="23" spans="1:16" x14ac:dyDescent="0.2">
      <c r="A23" s="38" t="s">
        <v>92</v>
      </c>
      <c r="C23" s="48">
        <v>8595.5225599999994</v>
      </c>
      <c r="D23" s="48">
        <v>716.29354666666666</v>
      </c>
      <c r="E23" s="61">
        <v>2.5251321242095512E-4</v>
      </c>
      <c r="F23" s="48">
        <v>8575.7897566927368</v>
      </c>
      <c r="G23" s="48">
        <v>-19.732803307262657</v>
      </c>
      <c r="H23" s="56">
        <v>-0.1722133319524452</v>
      </c>
      <c r="I23" s="56">
        <v>8.4588829009065974E-2</v>
      </c>
      <c r="J23" s="56">
        <v>0.9123754970566208</v>
      </c>
      <c r="K23" s="87">
        <v>7842.3441681413969</v>
      </c>
      <c r="L23" s="56">
        <v>2.16124972616905E-4</v>
      </c>
      <c r="M23" s="127">
        <v>2.1612497261690506E-4</v>
      </c>
      <c r="N23" s="48" t="s">
        <v>105</v>
      </c>
      <c r="O23" s="52">
        <v>8575.7900000000009</v>
      </c>
      <c r="P23" s="50">
        <v>714.6491666666667</v>
      </c>
    </row>
    <row r="24" spans="1:16" ht="15" x14ac:dyDescent="0.35">
      <c r="A24" s="38" t="s">
        <v>93</v>
      </c>
      <c r="C24" s="58">
        <v>6964.2939200000001</v>
      </c>
      <c r="D24" s="58">
        <v>580.35782666666671</v>
      </c>
      <c r="E24" s="88">
        <v>2.0459212545920262E-4</v>
      </c>
      <c r="F24" s="58">
        <v>6948.3059400792863</v>
      </c>
      <c r="G24" s="58">
        <v>-15.987979920713769</v>
      </c>
      <c r="H24" s="56">
        <v>-2.2329131729787375E-2</v>
      </c>
      <c r="I24" s="56">
        <v>1.3320610152510104E-2</v>
      </c>
      <c r="J24" s="56">
        <v>0.99099147842272273</v>
      </c>
      <c r="K24" s="95">
        <v>6901.555927951179</v>
      </c>
      <c r="L24" s="82">
        <v>1.9019805226120159E-4</v>
      </c>
      <c r="M24" s="125">
        <v>1.9019805226120164E-4</v>
      </c>
      <c r="N24" s="58" t="s">
        <v>105</v>
      </c>
      <c r="O24" s="60">
        <v>6948.31</v>
      </c>
      <c r="P24" s="59">
        <v>579.02583333333337</v>
      </c>
    </row>
    <row r="25" spans="1:16" x14ac:dyDescent="0.2">
      <c r="C25" s="48"/>
      <c r="D25" s="48"/>
      <c r="E25" s="48"/>
      <c r="F25" s="48"/>
      <c r="O25" s="39"/>
      <c r="P25" s="39"/>
    </row>
    <row r="26" spans="1:16" ht="13.5" thickBot="1" x14ac:dyDescent="0.25">
      <c r="A26" s="64" t="s">
        <v>94</v>
      </c>
      <c r="C26" s="65">
        <v>34594740.259261034</v>
      </c>
      <c r="D26" s="48">
        <v>2882895.0216050856</v>
      </c>
      <c r="E26" s="67">
        <v>1</v>
      </c>
      <c r="F26" s="65">
        <v>34516594.632273525</v>
      </c>
      <c r="G26" s="68">
        <v>-78145.626987501979</v>
      </c>
      <c r="K26" s="65">
        <v>36286154.594649464</v>
      </c>
      <c r="L26" s="67">
        <v>0.99999999999999978</v>
      </c>
      <c r="M26" s="67">
        <v>1</v>
      </c>
      <c r="N26" s="85">
        <v>0</v>
      </c>
      <c r="O26" s="89">
        <v>34516594.632273532</v>
      </c>
      <c r="P26" s="85">
        <v>2876382.8860227941</v>
      </c>
    </row>
    <row r="27" spans="1:16" ht="13.5" thickTop="1" x14ac:dyDescent="0.2">
      <c r="A27" s="71"/>
      <c r="B27" s="71"/>
      <c r="O27" s="39"/>
      <c r="P27" s="39"/>
    </row>
    <row r="28" spans="1:16" ht="25.5" x14ac:dyDescent="0.2">
      <c r="A28" s="129" t="s">
        <v>536</v>
      </c>
      <c r="D28" s="50"/>
      <c r="O28" s="39"/>
      <c r="P28" s="39"/>
    </row>
    <row r="32" spans="1:16" x14ac:dyDescent="0.2">
      <c r="A32" s="71"/>
      <c r="B32" s="71"/>
    </row>
    <row r="33" spans="1:3" x14ac:dyDescent="0.2">
      <c r="A33" s="71"/>
      <c r="B33" s="71"/>
    </row>
    <row r="34" spans="1:3" x14ac:dyDescent="0.2">
      <c r="A34" s="71"/>
      <c r="B34" s="71"/>
      <c r="C34" s="130"/>
    </row>
    <row r="35" spans="1:3" x14ac:dyDescent="0.2">
      <c r="A35" s="71"/>
      <c r="B35" s="71"/>
    </row>
    <row r="36" spans="1:3" x14ac:dyDescent="0.2">
      <c r="A36" s="71"/>
      <c r="B36" s="71"/>
    </row>
    <row r="37" spans="1:3" x14ac:dyDescent="0.2">
      <c r="A37" s="71"/>
      <c r="B37" s="71"/>
    </row>
  </sheetData>
  <phoneticPr fontId="0" type="noConversion"/>
  <printOptions horizontalCentered="1" verticalCentered="1"/>
  <pageMargins left="0.75" right="0.75" top="1" bottom="1" header="0.5" footer="0.5"/>
  <pageSetup scale="85" firstPageNumber="18"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8"/>
  <sheetViews>
    <sheetView zoomScaleNormal="100" workbookViewId="0">
      <pane xSplit="1" ySplit="5" topLeftCell="B6" activePane="bottomRight" state="frozen"/>
      <selection sqref="A1:XFD1048576"/>
      <selection pane="topRight" sqref="A1:XFD1048576"/>
      <selection pane="bottomLeft" sqref="A1:XFD1048576"/>
      <selection pane="bottomRight" activeCell="B6" sqref="B6"/>
    </sheetView>
  </sheetViews>
  <sheetFormatPr defaultColWidth="13" defaultRowHeight="12.75" x14ac:dyDescent="0.2"/>
  <cols>
    <col min="1" max="1" width="40.7109375" style="38" customWidth="1"/>
    <col min="2" max="2" width="15.28515625" style="38" bestFit="1" customWidth="1"/>
    <col min="3" max="3" width="15.85546875" style="38" bestFit="1" customWidth="1"/>
    <col min="4" max="4" width="13" style="38" hidden="1" customWidth="1"/>
    <col min="5" max="5" width="14.42578125" style="38" customWidth="1"/>
    <col min="6" max="6" width="13.85546875" style="38" bestFit="1" customWidth="1"/>
    <col min="7" max="7" width="15" style="38" bestFit="1" customWidth="1"/>
    <col min="8" max="11" width="13" style="38" customWidth="1"/>
    <col min="12" max="12" width="13" style="38" hidden="1" customWidth="1"/>
    <col min="13" max="13" width="14" style="38" customWidth="1"/>
    <col min="14" max="14" width="15" style="38" bestFit="1" customWidth="1"/>
    <col min="15" max="15" width="13.85546875" style="39" bestFit="1" customWidth="1"/>
    <col min="16" max="16" width="13.85546875" style="39"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A5" s="39" t="s">
        <v>245</v>
      </c>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x14ac:dyDescent="0.2">
      <c r="A6" s="49" t="s">
        <v>50</v>
      </c>
      <c r="B6" s="50">
        <v>1346748.1791942543</v>
      </c>
      <c r="D6" s="46"/>
      <c r="H6" s="24"/>
      <c r="I6" s="24"/>
    </row>
    <row r="7" spans="1:16" x14ac:dyDescent="0.2">
      <c r="D7" s="50"/>
      <c r="H7" s="24"/>
      <c r="I7" s="24"/>
    </row>
    <row r="8" spans="1:16" x14ac:dyDescent="0.2">
      <c r="A8" s="39" t="s">
        <v>55</v>
      </c>
    </row>
    <row r="9" spans="1:16" hidden="1" x14ac:dyDescent="0.2">
      <c r="A9" s="38" t="s">
        <v>333</v>
      </c>
      <c r="L9" s="54">
        <v>0.96469912670461655</v>
      </c>
      <c r="M9" s="54"/>
    </row>
    <row r="10" spans="1:16" hidden="1" x14ac:dyDescent="0.2">
      <c r="A10" s="38" t="s">
        <v>329</v>
      </c>
      <c r="L10" s="55">
        <v>0</v>
      </c>
      <c r="M10" s="55"/>
    </row>
    <row r="11" spans="1:16" x14ac:dyDescent="0.2">
      <c r="A11" s="38" t="s">
        <v>246</v>
      </c>
      <c r="C11" s="48">
        <v>1253123.6278915363</v>
      </c>
      <c r="D11" s="48">
        <v>104426.96899096137</v>
      </c>
      <c r="E11" s="127">
        <v>0.96342259004781672</v>
      </c>
      <c r="F11" s="48" t="s">
        <v>105</v>
      </c>
      <c r="G11" s="48" t="s">
        <v>105</v>
      </c>
      <c r="H11" s="56">
        <v>-3.3441425690588486E-2</v>
      </c>
      <c r="I11" s="56">
        <v>4.0968693054518959E-2</v>
      </c>
      <c r="J11" s="256">
        <v>1.0075272673639304</v>
      </c>
      <c r="K11" s="50">
        <v>1262556.2244787344</v>
      </c>
      <c r="L11" s="56">
        <v>0.96469912670461655</v>
      </c>
      <c r="M11" s="127">
        <v>0.96469912670461655</v>
      </c>
      <c r="N11" s="50">
        <v>44422.773417547316</v>
      </c>
      <c r="O11" s="52">
        <v>1297546.3991942543</v>
      </c>
      <c r="P11" s="50">
        <v>108128.86659952119</v>
      </c>
    </row>
    <row r="12" spans="1:16" x14ac:dyDescent="0.2">
      <c r="C12" s="48"/>
      <c r="D12" s="48"/>
      <c r="E12" s="127"/>
      <c r="F12" s="48"/>
      <c r="G12" s="48"/>
      <c r="H12" s="56"/>
      <c r="J12" s="256"/>
      <c r="L12" s="56"/>
      <c r="M12" s="56"/>
      <c r="N12" s="50"/>
      <c r="O12" s="52"/>
      <c r="P12" s="50"/>
    </row>
    <row r="13" spans="1:16" x14ac:dyDescent="0.2">
      <c r="A13" s="38" t="s">
        <v>148</v>
      </c>
      <c r="C13" s="48">
        <v>27227.682400000002</v>
      </c>
      <c r="D13" s="48">
        <v>2268.9735333333333</v>
      </c>
      <c r="E13" s="127">
        <v>2.093310166287746E-2</v>
      </c>
      <c r="F13" s="48" t="s">
        <v>105</v>
      </c>
      <c r="G13" s="48" t="s">
        <v>105</v>
      </c>
      <c r="H13" s="56">
        <v>-7.4125677472177312E-2</v>
      </c>
      <c r="I13" s="56">
        <v>-9.909803545912305E-3</v>
      </c>
      <c r="J13" s="256">
        <v>0.91596451898191034</v>
      </c>
      <c r="K13" s="50">
        <v>24939.591012508226</v>
      </c>
      <c r="L13" s="56">
        <v>1.9055944760060246E-2</v>
      </c>
      <c r="M13" s="127">
        <v>1.9055944760060242E-2</v>
      </c>
      <c r="N13" s="50">
        <v>877.49422892620851</v>
      </c>
      <c r="O13" s="52">
        <v>28105.18</v>
      </c>
      <c r="P13" s="50">
        <v>2342.0983333333334</v>
      </c>
    </row>
    <row r="14" spans="1:16" ht="15" x14ac:dyDescent="0.35">
      <c r="A14" s="38" t="s">
        <v>149</v>
      </c>
      <c r="C14" s="58">
        <v>20348.549599999998</v>
      </c>
      <c r="D14" s="58">
        <v>1695.7124666666666</v>
      </c>
      <c r="E14" s="125">
        <v>1.5644308289305756E-2</v>
      </c>
      <c r="F14" s="58" t="s">
        <v>105</v>
      </c>
      <c r="G14" s="58" t="s">
        <v>105</v>
      </c>
      <c r="H14" s="56">
        <v>1.0421003849411048E-2</v>
      </c>
      <c r="I14" s="56">
        <v>3.4403111711909191E-2</v>
      </c>
      <c r="J14" s="256">
        <v>1.0448241155613203</v>
      </c>
      <c r="K14" s="59">
        <v>21260.655338775654</v>
      </c>
      <c r="L14" s="82">
        <v>1.6244928535323357E-2</v>
      </c>
      <c r="M14" s="125">
        <v>1.6244928535323354E-2</v>
      </c>
      <c r="N14" s="59">
        <v>748.0516562444036</v>
      </c>
      <c r="O14" s="60">
        <v>21096.6</v>
      </c>
      <c r="P14" s="59">
        <v>1758.05</v>
      </c>
    </row>
    <row r="15" spans="1:16" x14ac:dyDescent="0.2">
      <c r="C15" s="48"/>
      <c r="D15" s="48"/>
      <c r="J15" s="248"/>
    </row>
    <row r="16" spans="1:16" ht="13.5" thickBot="1" x14ac:dyDescent="0.25">
      <c r="A16" s="64" t="s">
        <v>247</v>
      </c>
      <c r="C16" s="65">
        <v>1300699.8598915364</v>
      </c>
      <c r="D16" s="65">
        <v>108391.65499096137</v>
      </c>
      <c r="E16" s="67">
        <v>0.99999999999999989</v>
      </c>
      <c r="F16" s="65">
        <v>0</v>
      </c>
      <c r="G16" s="68">
        <v>46048.319302717922</v>
      </c>
      <c r="K16" s="85">
        <v>1308756.4708300182</v>
      </c>
      <c r="L16" s="67">
        <v>1.0000000000000002</v>
      </c>
      <c r="M16" s="67">
        <v>1.0000000000000002</v>
      </c>
      <c r="N16" s="68">
        <v>46048.31930271793</v>
      </c>
      <c r="O16" s="89">
        <v>1346748.1791942543</v>
      </c>
      <c r="P16" s="85">
        <v>112229.01493285452</v>
      </c>
    </row>
    <row r="17" spans="1:4" ht="13.5" thickTop="1" x14ac:dyDescent="0.2">
      <c r="A17" s="71"/>
      <c r="D17" s="48"/>
    </row>
    <row r="18" spans="1:4" ht="27.75" x14ac:dyDescent="0.35">
      <c r="A18" s="129" t="s">
        <v>536</v>
      </c>
      <c r="D18" s="58"/>
    </row>
  </sheetData>
  <phoneticPr fontId="0" type="noConversion"/>
  <printOptions horizontalCentered="1" verticalCentered="1"/>
  <pageMargins left="0.75" right="0.75" top="1" bottom="1" header="0.5" footer="0.5"/>
  <pageSetup scale="83" firstPageNumber="20"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1"/>
  <sheetViews>
    <sheetView zoomScaleNormal="100" workbookViewId="0">
      <pane xSplit="1" ySplit="5" topLeftCell="B6" activePane="bottomRight" state="frozen"/>
      <selection sqref="A1:XFD1048576"/>
      <selection pane="topRight" sqref="A1:XFD1048576"/>
      <selection pane="bottomLeft" sqref="A1:XFD1048576"/>
      <selection pane="bottomRight" activeCell="B6" sqref="B6"/>
    </sheetView>
  </sheetViews>
  <sheetFormatPr defaultColWidth="13" defaultRowHeight="12.75" x14ac:dyDescent="0.2"/>
  <cols>
    <col min="1" max="1" width="40.140625" style="38" customWidth="1"/>
    <col min="2" max="2" width="15.28515625" style="38" bestFit="1" customWidth="1"/>
    <col min="3" max="3" width="15.85546875" style="38" customWidth="1"/>
    <col min="4" max="4" width="13" style="38" hidden="1" customWidth="1"/>
    <col min="5" max="5" width="14.42578125" style="38" customWidth="1"/>
    <col min="6" max="6" width="13.85546875" style="38" customWidth="1"/>
    <col min="7" max="7" width="15" style="38" customWidth="1"/>
    <col min="8" max="11" width="13" style="38" customWidth="1"/>
    <col min="12" max="12" width="13" style="38" hidden="1" customWidth="1"/>
    <col min="13" max="13" width="14" style="38" customWidth="1"/>
    <col min="14" max="14" width="15" style="38" customWidth="1"/>
    <col min="15" max="15" width="13.85546875" style="39" customWidth="1"/>
    <col min="16" max="16" width="13.85546875"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A5" s="39" t="s">
        <v>248</v>
      </c>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x14ac:dyDescent="0.2">
      <c r="A6" s="49" t="s">
        <v>50</v>
      </c>
      <c r="B6" s="50">
        <v>5025115.7720865477</v>
      </c>
      <c r="C6" s="46"/>
      <c r="D6" s="46"/>
      <c r="E6" s="46"/>
      <c r="F6" s="46"/>
      <c r="H6" s="24"/>
      <c r="I6" s="24"/>
    </row>
    <row r="7" spans="1:16" x14ac:dyDescent="0.2">
      <c r="H7" s="24"/>
      <c r="I7" s="24"/>
    </row>
    <row r="8" spans="1:16" x14ac:dyDescent="0.2">
      <c r="A8" s="39" t="s">
        <v>346</v>
      </c>
      <c r="D8" s="50"/>
    </row>
    <row r="9" spans="1:16" x14ac:dyDescent="0.2">
      <c r="A9" s="38" t="s">
        <v>249</v>
      </c>
      <c r="C9" s="48">
        <v>55077.86</v>
      </c>
      <c r="D9" s="48">
        <v>4589.8216666666667</v>
      </c>
      <c r="F9" s="50">
        <v>55077.86</v>
      </c>
      <c r="O9" s="52">
        <v>55077.86</v>
      </c>
      <c r="P9" s="50">
        <v>4589.8216666666667</v>
      </c>
    </row>
    <row r="10" spans="1:16" x14ac:dyDescent="0.2">
      <c r="C10" s="48"/>
      <c r="D10" s="48"/>
      <c r="P10" s="50"/>
    </row>
    <row r="11" spans="1:16" x14ac:dyDescent="0.2">
      <c r="A11" s="39" t="s">
        <v>55</v>
      </c>
      <c r="C11" s="48"/>
      <c r="D11" s="48"/>
      <c r="P11" s="50"/>
    </row>
    <row r="12" spans="1:16" hidden="1" x14ac:dyDescent="0.2">
      <c r="A12" s="38" t="s">
        <v>334</v>
      </c>
      <c r="C12" s="48"/>
      <c r="D12" s="48"/>
      <c r="L12" s="54">
        <v>0.99730140102305631</v>
      </c>
      <c r="M12" s="54"/>
      <c r="P12" s="50">
        <v>0</v>
      </c>
    </row>
    <row r="13" spans="1:16" hidden="1" x14ac:dyDescent="0.2">
      <c r="A13" s="38" t="s">
        <v>329</v>
      </c>
      <c r="C13" s="48"/>
      <c r="D13" s="48"/>
      <c r="L13" s="55">
        <v>0</v>
      </c>
      <c r="M13" s="55"/>
      <c r="P13" s="50">
        <v>0</v>
      </c>
    </row>
    <row r="14" spans="1:16" x14ac:dyDescent="0.2">
      <c r="A14" s="38" t="s">
        <v>250</v>
      </c>
      <c r="C14" s="48">
        <v>6011941.2806997038</v>
      </c>
      <c r="D14" s="48">
        <v>500995.10672497534</v>
      </c>
      <c r="E14" s="127">
        <v>0.99719756051880781</v>
      </c>
      <c r="F14" s="50">
        <v>4956109.6816186942</v>
      </c>
      <c r="G14" s="50">
        <v>-1055831.5990810096</v>
      </c>
      <c r="H14" s="56">
        <v>4.620357224960691E-2</v>
      </c>
      <c r="I14" s="56">
        <v>6.0997873824421046E-2</v>
      </c>
      <c r="J14" s="56">
        <v>1.107201446074028</v>
      </c>
      <c r="K14" s="50">
        <v>6656430.079702856</v>
      </c>
      <c r="L14" s="127">
        <v>0.99730140102305631</v>
      </c>
      <c r="M14" s="127">
        <v>0.99730140102305631</v>
      </c>
      <c r="N14" s="48" t="s">
        <v>105</v>
      </c>
      <c r="O14" s="52">
        <v>4956109.6820865469</v>
      </c>
      <c r="P14" s="50">
        <v>413009.14017387893</v>
      </c>
    </row>
    <row r="15" spans="1:16" x14ac:dyDescent="0.2">
      <c r="C15" s="48"/>
      <c r="D15" s="48"/>
      <c r="E15" s="127"/>
      <c r="F15" s="50"/>
      <c r="G15" s="50"/>
      <c r="H15" s="56"/>
      <c r="I15" s="56"/>
      <c r="J15" s="56"/>
      <c r="L15" s="56"/>
      <c r="M15" s="56"/>
      <c r="N15" s="48"/>
      <c r="O15" s="52"/>
      <c r="P15" s="50"/>
    </row>
    <row r="16" spans="1:16" x14ac:dyDescent="0.2">
      <c r="A16" s="38" t="s">
        <v>251</v>
      </c>
      <c r="C16" s="48">
        <v>1510.9952000000001</v>
      </c>
      <c r="D16" s="48">
        <v>125.91626666666667</v>
      </c>
      <c r="E16" s="127">
        <v>2.5062798471316117E-4</v>
      </c>
      <c r="F16" s="50">
        <v>1245.6305858542587</v>
      </c>
      <c r="G16" s="50">
        <v>-265.36461414574137</v>
      </c>
      <c r="H16" s="56">
        <v>6.3860943994346525E-2</v>
      </c>
      <c r="I16" s="56">
        <v>5.1962257253728106E-2</v>
      </c>
      <c r="J16" s="56">
        <v>1.1158232012480747</v>
      </c>
      <c r="K16" s="50">
        <v>1686.0035011344748</v>
      </c>
      <c r="L16" s="127">
        <v>2.5260592144404383E-4</v>
      </c>
      <c r="M16" s="127">
        <v>2.5260592144404388E-4</v>
      </c>
      <c r="N16" s="48" t="s">
        <v>105</v>
      </c>
      <c r="O16" s="52">
        <v>1245.6300000000001</v>
      </c>
      <c r="P16" s="50">
        <v>103.80250000000001</v>
      </c>
    </row>
    <row r="17" spans="1:16" x14ac:dyDescent="0.2">
      <c r="A17" s="38" t="s">
        <v>12</v>
      </c>
      <c r="C17" s="48">
        <v>3764.0971200000004</v>
      </c>
      <c r="D17" s="48">
        <v>313.67476000000005</v>
      </c>
      <c r="E17" s="127">
        <v>6.2434882351063332E-4</v>
      </c>
      <c r="F17" s="50">
        <v>3103.0373232144802</v>
      </c>
      <c r="G17" s="50">
        <v>-661.05979678552012</v>
      </c>
      <c r="H17" s="56">
        <v>8.1091741314228971E-2</v>
      </c>
      <c r="I17" s="56">
        <v>6.5685192173919799E-2</v>
      </c>
      <c r="J17" s="56">
        <v>1.1467769334881488</v>
      </c>
      <c r="K17" s="50">
        <v>4316.5797526251727</v>
      </c>
      <c r="L17" s="127">
        <v>6.4673270557557107E-4</v>
      </c>
      <c r="M17" s="127">
        <v>6.4673270557557118E-4</v>
      </c>
      <c r="N17" s="48" t="s">
        <v>105</v>
      </c>
      <c r="O17" s="52">
        <v>3103.04</v>
      </c>
      <c r="P17" s="50">
        <v>258.58666666666664</v>
      </c>
    </row>
    <row r="18" spans="1:16" x14ac:dyDescent="0.2">
      <c r="C18" s="48"/>
      <c r="D18" s="48"/>
      <c r="E18" s="127"/>
      <c r="F18" s="50"/>
      <c r="G18" s="50"/>
      <c r="H18" s="56"/>
      <c r="I18" s="56"/>
      <c r="J18" s="56"/>
      <c r="K18" s="50"/>
      <c r="L18" s="56"/>
      <c r="M18" s="56"/>
      <c r="N18" s="48"/>
      <c r="O18" s="52"/>
      <c r="P18" s="50"/>
    </row>
    <row r="19" spans="1:16" x14ac:dyDescent="0.2">
      <c r="A19" s="39" t="s">
        <v>60</v>
      </c>
      <c r="C19" s="48"/>
      <c r="D19" s="48"/>
      <c r="E19" s="127"/>
      <c r="F19" s="50"/>
      <c r="G19" s="50"/>
      <c r="H19" s="56"/>
      <c r="I19" s="56"/>
      <c r="J19" s="56"/>
      <c r="K19" s="50"/>
      <c r="L19" s="56"/>
      <c r="M19" s="56"/>
      <c r="N19" s="48"/>
      <c r="O19" s="52"/>
      <c r="P19" s="50"/>
    </row>
    <row r="20" spans="1:16" x14ac:dyDescent="0.2">
      <c r="A20" s="38" t="s">
        <v>252</v>
      </c>
      <c r="C20" s="48">
        <v>5810.1788800000004</v>
      </c>
      <c r="D20" s="48">
        <v>484.18157333333335</v>
      </c>
      <c r="E20" s="127">
        <v>9.6373133648430657E-4</v>
      </c>
      <c r="F20" s="50">
        <v>4789.7812793928406</v>
      </c>
      <c r="G20" s="50">
        <v>-1020.3976006071598</v>
      </c>
      <c r="H20" s="56"/>
      <c r="I20" s="56">
        <v>3.3449967294257678E-2</v>
      </c>
      <c r="J20" s="56">
        <v>1.0334499672942576</v>
      </c>
      <c r="K20" s="50">
        <v>6004.5291735097871</v>
      </c>
      <c r="L20" s="127">
        <v>8.9963017496195877E-4</v>
      </c>
      <c r="M20" s="127">
        <v>8.9963017496195888E-4</v>
      </c>
      <c r="N20" s="48" t="s">
        <v>105</v>
      </c>
      <c r="O20" s="52">
        <v>4789.78</v>
      </c>
      <c r="P20" s="50">
        <v>399.14833333333331</v>
      </c>
    </row>
    <row r="21" spans="1:16" ht="15" x14ac:dyDescent="0.35">
      <c r="A21" s="38" t="s">
        <v>253</v>
      </c>
      <c r="C21" s="58">
        <v>5810.1788800000004</v>
      </c>
      <c r="D21" s="58">
        <v>484.18157333333335</v>
      </c>
      <c r="E21" s="125">
        <v>9.6373133648430657E-4</v>
      </c>
      <c r="F21" s="59">
        <v>4789.7812793928406</v>
      </c>
      <c r="G21" s="59">
        <v>-1020.3976006071598</v>
      </c>
      <c r="H21" s="56"/>
      <c r="I21" s="56">
        <v>3.3449967294257678E-2</v>
      </c>
      <c r="J21" s="56">
        <v>1.0334499672942576</v>
      </c>
      <c r="K21" s="59">
        <v>6004.5291735097871</v>
      </c>
      <c r="L21" s="125">
        <v>8.9963017496195877E-4</v>
      </c>
      <c r="M21" s="125">
        <v>8.9963017496195888E-4</v>
      </c>
      <c r="N21" s="58" t="s">
        <v>105</v>
      </c>
      <c r="O21" s="60">
        <v>4789.78</v>
      </c>
      <c r="P21" s="59">
        <v>399.14833333333331</v>
      </c>
    </row>
    <row r="22" spans="1:16" x14ac:dyDescent="0.2">
      <c r="C22" s="48"/>
      <c r="D22" s="48"/>
    </row>
    <row r="23" spans="1:16" ht="13.5" thickBot="1" x14ac:dyDescent="0.25">
      <c r="A23" s="64" t="s">
        <v>254</v>
      </c>
      <c r="C23" s="65">
        <v>6083914.5907797031</v>
      </c>
      <c r="D23" s="65">
        <v>506992.88256497536</v>
      </c>
      <c r="E23" s="67">
        <v>1.0000000000000002</v>
      </c>
      <c r="F23" s="68">
        <v>5025115.7720865477</v>
      </c>
      <c r="G23" s="68">
        <v>-1058798.8186931554</v>
      </c>
      <c r="K23" s="68">
        <v>6674441.7213036362</v>
      </c>
      <c r="L23" s="84">
        <v>0.99999999999999989</v>
      </c>
      <c r="M23" s="84">
        <v>0.99999999999999989</v>
      </c>
      <c r="N23" s="68">
        <v>0</v>
      </c>
      <c r="O23" s="100">
        <v>5025115.7720865477</v>
      </c>
      <c r="P23" s="68">
        <v>418759.64767387888</v>
      </c>
    </row>
    <row r="24" spans="1:16" ht="13.5" thickTop="1" x14ac:dyDescent="0.2">
      <c r="A24" s="71"/>
    </row>
    <row r="25" spans="1:16" ht="25.5" x14ac:dyDescent="0.2">
      <c r="A25" s="129" t="s">
        <v>536</v>
      </c>
      <c r="D25" s="50"/>
    </row>
    <row r="27" spans="1:16" x14ac:dyDescent="0.2">
      <c r="G27" s="387"/>
    </row>
    <row r="28" spans="1:16" x14ac:dyDescent="0.2">
      <c r="C28" s="130"/>
    </row>
    <row r="29" spans="1:16" x14ac:dyDescent="0.2">
      <c r="F29" s="50"/>
    </row>
    <row r="30" spans="1:16" x14ac:dyDescent="0.2">
      <c r="C30" s="50"/>
    </row>
    <row r="31" spans="1:16" x14ac:dyDescent="0.2">
      <c r="C31" s="50"/>
      <c r="G31" s="50"/>
    </row>
  </sheetData>
  <phoneticPr fontId="0" type="noConversion"/>
  <printOptions horizontalCentered="1" verticalCentered="1"/>
  <pageMargins left="0.75" right="0.75" top="1" bottom="1" header="0.5" footer="0.5"/>
  <pageSetup scale="83" firstPageNumber="22"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28"/>
  <sheetViews>
    <sheetView zoomScaleNormal="100" workbookViewId="0">
      <pane xSplit="1" ySplit="5" topLeftCell="B6" activePane="bottomRight" state="frozen"/>
      <selection sqref="A1:XFD1048576"/>
      <selection pane="topRight" sqref="A1:XFD1048576"/>
      <selection pane="bottomLeft" sqref="A1:XFD1048576"/>
      <selection pane="bottomRight" activeCell="B6" sqref="B6"/>
    </sheetView>
  </sheetViews>
  <sheetFormatPr defaultColWidth="13" defaultRowHeight="12.75" x14ac:dyDescent="0.2"/>
  <cols>
    <col min="1" max="1" width="40.7109375" style="38" customWidth="1"/>
    <col min="2" max="2" width="15.28515625" style="38" bestFit="1" customWidth="1"/>
    <col min="3" max="3" width="15.85546875" style="38" customWidth="1"/>
    <col min="4" max="4" width="13" style="38" hidden="1" customWidth="1"/>
    <col min="5" max="5" width="14.42578125" style="38" customWidth="1"/>
    <col min="6" max="6" width="13.85546875" style="38" customWidth="1"/>
    <col min="7" max="7" width="15" style="38" customWidth="1"/>
    <col min="8" max="8" width="13" style="38" customWidth="1"/>
    <col min="9" max="9" width="10.140625" style="38" bestFit="1" customWidth="1"/>
    <col min="10" max="11" width="13" style="38" customWidth="1"/>
    <col min="12" max="12" width="13" style="38" hidden="1" customWidth="1"/>
    <col min="13" max="13" width="13.5703125" style="38" bestFit="1" customWidth="1"/>
    <col min="14" max="14" width="14.42578125" style="38" customWidth="1"/>
    <col min="15" max="15" width="14" style="39" bestFit="1" customWidth="1"/>
    <col min="16" max="16" width="14"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A5" s="39" t="s">
        <v>321</v>
      </c>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x14ac:dyDescent="0.2">
      <c r="A6" s="49" t="s">
        <v>50</v>
      </c>
      <c r="B6" s="50">
        <v>18255467.290095847</v>
      </c>
      <c r="C6" s="46"/>
      <c r="D6" s="46"/>
      <c r="E6" s="46"/>
      <c r="F6" s="46"/>
      <c r="H6" s="24"/>
      <c r="I6" s="24"/>
    </row>
    <row r="7" spans="1:16" x14ac:dyDescent="0.2">
      <c r="H7" s="24"/>
      <c r="I7" s="24"/>
    </row>
    <row r="8" spans="1:16" x14ac:dyDescent="0.2">
      <c r="A8" s="39" t="s">
        <v>55</v>
      </c>
      <c r="D8" s="50"/>
    </row>
    <row r="9" spans="1:16" hidden="1" x14ac:dyDescent="0.2">
      <c r="A9" s="38" t="s">
        <v>335</v>
      </c>
      <c r="D9" s="50"/>
      <c r="L9" s="54">
        <v>0.64974074884776889</v>
      </c>
      <c r="M9" s="54"/>
    </row>
    <row r="10" spans="1:16" hidden="1" x14ac:dyDescent="0.2">
      <c r="A10" s="38" t="s">
        <v>329</v>
      </c>
      <c r="D10" s="50"/>
      <c r="L10" s="55">
        <v>0</v>
      </c>
      <c r="M10" s="55"/>
    </row>
    <row r="11" spans="1:16" x14ac:dyDescent="0.2">
      <c r="A11" s="38" t="s">
        <v>255</v>
      </c>
      <c r="C11" s="48">
        <v>11959360.455697509</v>
      </c>
      <c r="D11" s="48">
        <v>996613.37130812567</v>
      </c>
      <c r="E11" s="53">
        <v>0.64374412251511082</v>
      </c>
      <c r="F11" s="48">
        <v>11751849.771766059</v>
      </c>
      <c r="G11" s="48">
        <v>-207510.68393144943</v>
      </c>
      <c r="H11" s="56">
        <v>-2.8419385956348422E-3</v>
      </c>
      <c r="I11" s="56">
        <v>0.1119971067853431</v>
      </c>
      <c r="J11" s="56">
        <v>1.1091551681897083</v>
      </c>
      <c r="K11" s="50">
        <v>13264786.457680516</v>
      </c>
      <c r="L11" s="56">
        <v>0.64974074884776889</v>
      </c>
      <c r="M11" s="127">
        <v>0.64974074884776889</v>
      </c>
      <c r="N11" s="50" t="s">
        <v>105</v>
      </c>
      <c r="O11" s="52">
        <v>11751849.760095846</v>
      </c>
      <c r="P11" s="50">
        <v>979320.81334132049</v>
      </c>
    </row>
    <row r="12" spans="1:16" x14ac:dyDescent="0.2">
      <c r="C12" s="48"/>
      <c r="D12" s="48"/>
      <c r="E12" s="53"/>
      <c r="F12" s="48"/>
      <c r="G12" s="48"/>
      <c r="J12" s="56"/>
      <c r="L12" s="56"/>
      <c r="M12" s="56"/>
      <c r="N12" s="50"/>
      <c r="O12" s="52"/>
      <c r="P12" s="50"/>
    </row>
    <row r="13" spans="1:16" x14ac:dyDescent="0.2">
      <c r="A13" s="38" t="s">
        <v>156</v>
      </c>
      <c r="C13" s="48">
        <v>4502984.4509599991</v>
      </c>
      <c r="D13" s="48">
        <v>375248.70424666657</v>
      </c>
      <c r="E13" s="53">
        <v>0.24238501588949449</v>
      </c>
      <c r="F13" s="48">
        <v>4424851.7291800287</v>
      </c>
      <c r="G13" s="48">
        <v>-78132.721779970452</v>
      </c>
      <c r="H13" s="56">
        <v>1.2013249233466727E-2</v>
      </c>
      <c r="I13" s="56">
        <v>5.5163316950332011E-2</v>
      </c>
      <c r="J13" s="56">
        <v>1.0671765661837986</v>
      </c>
      <c r="K13" s="50">
        <v>4805479.4839545293</v>
      </c>
      <c r="L13" s="56">
        <v>0.23538379968939016</v>
      </c>
      <c r="M13" s="127">
        <v>0.23538379968939024</v>
      </c>
      <c r="N13" s="50" t="s">
        <v>105</v>
      </c>
      <c r="O13" s="52">
        <v>4424851.7300000004</v>
      </c>
      <c r="P13" s="50">
        <v>368737.64416666672</v>
      </c>
    </row>
    <row r="14" spans="1:16" x14ac:dyDescent="0.2">
      <c r="C14" s="48"/>
      <c r="D14" s="48"/>
      <c r="E14" s="53"/>
      <c r="F14" s="48"/>
      <c r="G14" s="48"/>
      <c r="J14" s="56"/>
      <c r="L14" s="56"/>
      <c r="M14" s="56"/>
      <c r="N14" s="50"/>
      <c r="O14" s="52"/>
      <c r="P14" s="50"/>
    </row>
    <row r="15" spans="1:16" x14ac:dyDescent="0.2">
      <c r="A15" s="39" t="s">
        <v>60</v>
      </c>
      <c r="C15" s="48"/>
      <c r="D15" s="48"/>
      <c r="E15" s="53"/>
      <c r="F15" s="48"/>
      <c r="G15" s="48"/>
      <c r="J15" s="56"/>
      <c r="L15" s="56"/>
      <c r="M15" s="56"/>
      <c r="N15" s="50"/>
      <c r="O15" s="52"/>
      <c r="P15" s="50"/>
    </row>
    <row r="16" spans="1:16" x14ac:dyDescent="0.2">
      <c r="A16" s="38" t="s">
        <v>256</v>
      </c>
      <c r="C16" s="48">
        <v>442487.24304000003</v>
      </c>
      <c r="D16" s="48">
        <v>36873.93692</v>
      </c>
      <c r="E16" s="53">
        <v>2.3818043034166757E-2</v>
      </c>
      <c r="F16" s="48">
        <v>434809.50552432647</v>
      </c>
      <c r="G16" s="48">
        <v>-7677.7375156735652</v>
      </c>
      <c r="H16" s="56"/>
      <c r="I16" s="56">
        <v>0.11440874072894769</v>
      </c>
      <c r="J16" s="56">
        <v>1.1144087407289476</v>
      </c>
      <c r="K16" s="50">
        <v>493111.65130483021</v>
      </c>
      <c r="L16" s="56">
        <v>2.4153779980291112E-2</v>
      </c>
      <c r="M16" s="127">
        <v>2.4153779980291119E-2</v>
      </c>
      <c r="N16" s="50" t="s">
        <v>105</v>
      </c>
      <c r="O16" s="52">
        <v>434809.51</v>
      </c>
      <c r="P16" s="50">
        <v>36234.125833333332</v>
      </c>
    </row>
    <row r="17" spans="1:16" x14ac:dyDescent="0.2">
      <c r="A17" s="38" t="s">
        <v>257</v>
      </c>
      <c r="C17" s="48">
        <v>36787.77504</v>
      </c>
      <c r="D17" s="48">
        <v>3065.6479199999999</v>
      </c>
      <c r="E17" s="53">
        <v>1.9801990290480706E-3</v>
      </c>
      <c r="F17" s="48">
        <v>36149.458602666607</v>
      </c>
      <c r="G17" s="48">
        <v>-638.31643733339297</v>
      </c>
      <c r="H17" s="56"/>
      <c r="I17" s="56">
        <v>5.4085321817299616E-2</v>
      </c>
      <c r="J17" s="56">
        <v>1.0540853218172996</v>
      </c>
      <c r="K17" s="50">
        <v>38777.453691980823</v>
      </c>
      <c r="L17" s="56">
        <v>1.8994117908056364E-3</v>
      </c>
      <c r="M17" s="127">
        <v>1.8994117908056371E-3</v>
      </c>
      <c r="N17" s="50" t="s">
        <v>105</v>
      </c>
      <c r="O17" s="52">
        <v>36149.46</v>
      </c>
      <c r="P17" s="50">
        <v>3012.4549999999999</v>
      </c>
    </row>
    <row r="18" spans="1:16" x14ac:dyDescent="0.2">
      <c r="A18" s="38" t="s">
        <v>258</v>
      </c>
      <c r="C18" s="48">
        <v>1272921.8432800001</v>
      </c>
      <c r="D18" s="48">
        <v>106076.82027333335</v>
      </c>
      <c r="E18" s="53">
        <v>6.8518375883738589E-2</v>
      </c>
      <c r="F18" s="48">
        <v>1250834.9697160819</v>
      </c>
      <c r="G18" s="48">
        <v>-22086.873563918285</v>
      </c>
      <c r="H18" s="56"/>
      <c r="I18" s="56">
        <v>0.1119971067853431</v>
      </c>
      <c r="J18" s="56">
        <v>1.1119971067853431</v>
      </c>
      <c r="K18" s="50">
        <v>1415485.4068912261</v>
      </c>
      <c r="L18" s="56">
        <v>6.9333837464384845E-2</v>
      </c>
      <c r="M18" s="127">
        <v>6.9333837464384873E-2</v>
      </c>
      <c r="N18" s="50" t="s">
        <v>105</v>
      </c>
      <c r="O18" s="52">
        <v>1250834.97</v>
      </c>
      <c r="P18" s="50">
        <v>104236.2475</v>
      </c>
    </row>
    <row r="19" spans="1:16" x14ac:dyDescent="0.2">
      <c r="A19" s="38" t="s">
        <v>259</v>
      </c>
      <c r="C19" s="48">
        <v>4123.1921600000005</v>
      </c>
      <c r="D19" s="48">
        <v>343.59934666666669</v>
      </c>
      <c r="E19" s="53">
        <v>2.2194169402560903E-4</v>
      </c>
      <c r="F19" s="48">
        <v>4051.6493355929665</v>
      </c>
      <c r="G19" s="48">
        <v>-71.542824407034004</v>
      </c>
      <c r="H19" s="56"/>
      <c r="I19" s="56">
        <v>2.6072668172795931E-2</v>
      </c>
      <c r="J19" s="56">
        <v>1.0260726681727959</v>
      </c>
      <c r="K19" s="50">
        <v>4230.6947810003539</v>
      </c>
      <c r="L19" s="56">
        <v>2.0722947963944707E-4</v>
      </c>
      <c r="M19" s="127">
        <v>2.0722947963944716E-4</v>
      </c>
      <c r="N19" s="50" t="s">
        <v>105</v>
      </c>
      <c r="O19" s="52">
        <v>4051.65</v>
      </c>
      <c r="P19" s="50">
        <v>337.63749999999999</v>
      </c>
    </row>
    <row r="20" spans="1:16" x14ac:dyDescent="0.2">
      <c r="A20" s="38" t="s">
        <v>260</v>
      </c>
      <c r="C20" s="48">
        <v>42239.813920000001</v>
      </c>
      <c r="D20" s="48">
        <v>3519.9844933333334</v>
      </c>
      <c r="E20" s="53">
        <v>2.2736694029635769E-3</v>
      </c>
      <c r="F20" s="48">
        <v>41506.897414293329</v>
      </c>
      <c r="G20" s="48">
        <v>-732.91650570667116</v>
      </c>
      <c r="H20" s="56"/>
      <c r="I20" s="56">
        <v>0.1242685006430895</v>
      </c>
      <c r="J20" s="56">
        <v>1.1242685006430895</v>
      </c>
      <c r="K20" s="50">
        <v>47488.892263281501</v>
      </c>
      <c r="L20" s="56">
        <v>2.3261187445071723E-3</v>
      </c>
      <c r="M20" s="127">
        <v>2.3261187445071732E-3</v>
      </c>
      <c r="N20" s="50" t="s">
        <v>105</v>
      </c>
      <c r="O20" s="52">
        <v>41506.9</v>
      </c>
      <c r="P20" s="50">
        <v>3458.9083333333333</v>
      </c>
    </row>
    <row r="21" spans="1:16" x14ac:dyDescent="0.2">
      <c r="A21" s="38" t="s">
        <v>261</v>
      </c>
      <c r="C21" s="48">
        <v>52767.036959999998</v>
      </c>
      <c r="D21" s="48">
        <v>4397.2530799999995</v>
      </c>
      <c r="E21" s="53">
        <v>2.8403249514362488E-3</v>
      </c>
      <c r="F21" s="48">
        <v>51851.459244187514</v>
      </c>
      <c r="G21" s="48">
        <v>-915.5777158124838</v>
      </c>
      <c r="H21" s="56"/>
      <c r="I21" s="56">
        <v>0.1242685006430895</v>
      </c>
      <c r="J21" s="56">
        <v>1.1242685006430895</v>
      </c>
      <c r="K21" s="50">
        <v>59324.317526397681</v>
      </c>
      <c r="L21" s="56">
        <v>2.9058459868508517E-3</v>
      </c>
      <c r="M21" s="127">
        <v>2.9058459868508526E-3</v>
      </c>
      <c r="N21" s="50" t="s">
        <v>105</v>
      </c>
      <c r="O21" s="52">
        <v>51851.46</v>
      </c>
      <c r="P21" s="50">
        <v>4320.9549999999999</v>
      </c>
    </row>
    <row r="22" spans="1:16" x14ac:dyDescent="0.2">
      <c r="A22" s="38" t="s">
        <v>262</v>
      </c>
      <c r="C22" s="48">
        <v>42255.023439999997</v>
      </c>
      <c r="D22" s="48">
        <v>3521.2519533333329</v>
      </c>
      <c r="E22" s="53">
        <v>2.2744880954967224E-3</v>
      </c>
      <c r="F22" s="48">
        <v>41521.843029052812</v>
      </c>
      <c r="G22" s="48">
        <v>-733.18041094718501</v>
      </c>
      <c r="H22" s="56"/>
      <c r="I22" s="56">
        <v>0.16915256961463171</v>
      </c>
      <c r="J22" s="56">
        <v>1.1691525696146317</v>
      </c>
      <c r="K22" s="50">
        <v>49402.569234002491</v>
      </c>
      <c r="L22" s="56">
        <v>2.4198551881337519E-3</v>
      </c>
      <c r="M22" s="127">
        <v>2.4198551881337528E-3</v>
      </c>
      <c r="N22" s="50" t="s">
        <v>105</v>
      </c>
      <c r="O22" s="52">
        <v>41521.839999999997</v>
      </c>
      <c r="P22" s="50">
        <v>3460.1533333333332</v>
      </c>
    </row>
    <row r="23" spans="1:16" x14ac:dyDescent="0.2">
      <c r="A23" s="38" t="s">
        <v>263</v>
      </c>
      <c r="C23" s="48">
        <v>12006.3768</v>
      </c>
      <c r="D23" s="48">
        <v>1000.5314</v>
      </c>
      <c r="E23" s="53">
        <v>6.4627490126527851E-4</v>
      </c>
      <c r="F23" s="48">
        <v>11798.050320458215</v>
      </c>
      <c r="G23" s="48">
        <v>-208.32647954178537</v>
      </c>
      <c r="H23" s="56"/>
      <c r="I23" s="56">
        <v>0.60863046932527076</v>
      </c>
      <c r="J23" s="56">
        <v>1.6086304693252709</v>
      </c>
      <c r="K23" s="50">
        <v>19313.823546680043</v>
      </c>
      <c r="L23" s="56">
        <v>9.4603695388307673E-4</v>
      </c>
      <c r="M23" s="127">
        <v>9.4603695388307705E-4</v>
      </c>
      <c r="N23" s="50" t="s">
        <v>105</v>
      </c>
      <c r="O23" s="52">
        <v>11798.05</v>
      </c>
      <c r="P23" s="50">
        <v>983.17083333333323</v>
      </c>
    </row>
    <row r="24" spans="1:16" ht="15" x14ac:dyDescent="0.35">
      <c r="A24" s="38" t="s">
        <v>264</v>
      </c>
      <c r="C24" s="58">
        <v>209883.71536</v>
      </c>
      <c r="D24" s="58">
        <v>17490.309613333335</v>
      </c>
      <c r="E24" s="96">
        <v>1.1297544603253983E-2</v>
      </c>
      <c r="F24" s="58">
        <v>206241.95596310194</v>
      </c>
      <c r="G24" s="58">
        <v>-3641.7593968980655</v>
      </c>
      <c r="H24" s="56"/>
      <c r="I24" s="56">
        <v>3.9174059883536817E-2</v>
      </c>
      <c r="J24" s="56">
        <v>1.0391740598835368</v>
      </c>
      <c r="K24" s="59">
        <v>218105.71259409183</v>
      </c>
      <c r="L24" s="82">
        <v>1.0683335874344812E-2</v>
      </c>
      <c r="M24" s="125">
        <v>1.0683335874344816E-2</v>
      </c>
      <c r="N24" s="59" t="s">
        <v>105</v>
      </c>
      <c r="O24" s="60">
        <v>206241.96</v>
      </c>
      <c r="P24" s="59">
        <v>17186.829999999998</v>
      </c>
    </row>
    <row r="25" spans="1:16" x14ac:dyDescent="0.2">
      <c r="C25" s="48"/>
      <c r="D25" s="48"/>
    </row>
    <row r="26" spans="1:16" ht="13.5" thickBot="1" x14ac:dyDescent="0.25">
      <c r="A26" s="64" t="s">
        <v>265</v>
      </c>
      <c r="C26" s="65">
        <v>18577816.926657505</v>
      </c>
      <c r="D26" s="65">
        <v>1548151.4105547923</v>
      </c>
      <c r="E26" s="67">
        <v>1</v>
      </c>
      <c r="F26" s="65">
        <v>18255467.290095847</v>
      </c>
      <c r="G26" s="68">
        <v>-322349.63656165823</v>
      </c>
      <c r="K26" s="65">
        <v>20415506.46346854</v>
      </c>
      <c r="L26" s="67">
        <v>0.99999999999999967</v>
      </c>
      <c r="M26" s="67">
        <v>0.99999999999999978</v>
      </c>
      <c r="N26" s="65">
        <v>0</v>
      </c>
      <c r="O26" s="70">
        <v>18255467.290095847</v>
      </c>
      <c r="P26" s="65">
        <v>1521288.9408413209</v>
      </c>
    </row>
    <row r="27" spans="1:16" ht="13.5" thickTop="1" x14ac:dyDescent="0.2">
      <c r="A27" s="71"/>
    </row>
    <row r="28" spans="1:16" ht="25.5" x14ac:dyDescent="0.2">
      <c r="A28" s="129" t="s">
        <v>536</v>
      </c>
    </row>
  </sheetData>
  <phoneticPr fontId="0" type="noConversion"/>
  <printOptions horizontalCentered="1" verticalCentered="1"/>
  <pageMargins left="0.75" right="0.75" top="1" bottom="1" header="0.5" footer="0.5"/>
  <pageSetup scale="85" firstPageNumber="24"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9"/>
  <sheetViews>
    <sheetView zoomScaleNormal="100" workbookViewId="0">
      <pane xSplit="1" ySplit="5" topLeftCell="B6" activePane="bottomRight" state="frozen"/>
      <selection sqref="A1:XFD1048576"/>
      <selection pane="topRight" sqref="A1:XFD1048576"/>
      <selection pane="bottomLeft" sqref="A1:XFD1048576"/>
      <selection pane="bottomRight" activeCell="B6" sqref="B6"/>
    </sheetView>
  </sheetViews>
  <sheetFormatPr defaultColWidth="13" defaultRowHeight="12.75" x14ac:dyDescent="0.2"/>
  <cols>
    <col min="1" max="1" width="41.7109375" style="38" customWidth="1"/>
    <col min="2" max="2" width="15.28515625" style="38" bestFit="1" customWidth="1"/>
    <col min="3" max="3" width="15.85546875" style="38" customWidth="1"/>
    <col min="4" max="4" width="13" style="38" hidden="1" customWidth="1"/>
    <col min="5" max="5" width="14.42578125" style="38" customWidth="1"/>
    <col min="6" max="6" width="13.85546875" style="38" customWidth="1"/>
    <col min="7" max="7" width="15" style="38" customWidth="1"/>
    <col min="8" max="8" width="13.28515625" style="38" bestFit="1" customWidth="1"/>
    <col min="9" max="9" width="13" style="38" customWidth="1"/>
    <col min="10" max="10" width="9.28515625" style="38" bestFit="1" customWidth="1"/>
    <col min="11" max="11" width="13" style="38" customWidth="1"/>
    <col min="12" max="12" width="13" style="38" hidden="1" customWidth="1"/>
    <col min="13" max="13" width="14" style="38" customWidth="1"/>
    <col min="14" max="14" width="15.140625" style="38" bestFit="1" customWidth="1"/>
    <col min="15" max="15" width="13.85546875" style="39" customWidth="1"/>
    <col min="16" max="16" width="13.85546875"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A5" s="39" t="s">
        <v>266</v>
      </c>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x14ac:dyDescent="0.2">
      <c r="A6" s="49" t="s">
        <v>50</v>
      </c>
      <c r="B6" s="50">
        <v>4531061.2980659269</v>
      </c>
      <c r="C6" s="46"/>
      <c r="D6" s="46"/>
      <c r="E6" s="46"/>
      <c r="F6" s="46"/>
      <c r="H6" s="24"/>
      <c r="I6" s="24"/>
    </row>
    <row r="7" spans="1:16" x14ac:dyDescent="0.2">
      <c r="H7" s="24"/>
      <c r="I7" s="24"/>
    </row>
    <row r="8" spans="1:16" x14ac:dyDescent="0.2">
      <c r="A8" s="39" t="s">
        <v>346</v>
      </c>
      <c r="D8" s="50"/>
    </row>
    <row r="9" spans="1:16" x14ac:dyDescent="0.2">
      <c r="A9" s="38" t="s">
        <v>267</v>
      </c>
      <c r="C9" s="50">
        <v>3554</v>
      </c>
      <c r="D9" s="48">
        <v>296.16666666666669</v>
      </c>
      <c r="F9" s="50">
        <v>3554</v>
      </c>
      <c r="O9" s="52">
        <v>3554</v>
      </c>
      <c r="P9" s="50">
        <v>296.16666666666669</v>
      </c>
    </row>
    <row r="10" spans="1:16" x14ac:dyDescent="0.2">
      <c r="F10" s="50"/>
      <c r="P10" s="50"/>
    </row>
    <row r="11" spans="1:16" x14ac:dyDescent="0.2">
      <c r="A11" s="39" t="s">
        <v>55</v>
      </c>
      <c r="D11" s="48"/>
      <c r="F11" s="50"/>
      <c r="P11" s="50"/>
    </row>
    <row r="12" spans="1:16" hidden="1" x14ac:dyDescent="0.2">
      <c r="A12" s="38" t="s">
        <v>336</v>
      </c>
      <c r="D12" s="48"/>
      <c r="F12" s="50">
        <v>0</v>
      </c>
      <c r="L12" s="54">
        <v>0.79411841463833144</v>
      </c>
      <c r="M12" s="54"/>
      <c r="P12" s="50">
        <v>0</v>
      </c>
    </row>
    <row r="13" spans="1:16" hidden="1" x14ac:dyDescent="0.2">
      <c r="A13" s="38" t="s">
        <v>329</v>
      </c>
      <c r="D13" s="48"/>
      <c r="F13" s="50">
        <v>0</v>
      </c>
      <c r="L13" s="55">
        <v>0</v>
      </c>
      <c r="M13" s="55"/>
      <c r="P13" s="50">
        <v>0</v>
      </c>
    </row>
    <row r="14" spans="1:16" x14ac:dyDescent="0.2">
      <c r="A14" s="38" t="s">
        <v>268</v>
      </c>
      <c r="C14" s="48">
        <v>3584479.8492067922</v>
      </c>
      <c r="D14" s="48">
        <v>298706.654100566</v>
      </c>
      <c r="E14" s="127">
        <v>0.78928617731209205</v>
      </c>
      <c r="F14" s="50">
        <v>3573498.928043054</v>
      </c>
      <c r="G14" s="48">
        <v>-10980.92116373824</v>
      </c>
      <c r="H14" s="56">
        <v>1.8339465759075503E-2</v>
      </c>
      <c r="I14" s="56">
        <v>0.15301867142005074</v>
      </c>
      <c r="J14" s="56">
        <v>1.1713581371791262</v>
      </c>
      <c r="K14" s="50">
        <v>4198709.6389229828</v>
      </c>
      <c r="L14" s="56">
        <v>0.79411841463833144</v>
      </c>
      <c r="M14" s="127">
        <v>0.79411841463833144</v>
      </c>
      <c r="N14" s="50">
        <v>0</v>
      </c>
      <c r="O14" s="52">
        <v>3573498.9180659265</v>
      </c>
      <c r="P14" s="50">
        <v>297791.5765054939</v>
      </c>
    </row>
    <row r="15" spans="1:16" x14ac:dyDescent="0.2">
      <c r="C15" s="48"/>
      <c r="D15" s="48"/>
      <c r="E15" s="127"/>
      <c r="F15" s="50"/>
      <c r="G15" s="48"/>
      <c r="J15" s="56"/>
      <c r="L15" s="56"/>
      <c r="M15" s="56"/>
      <c r="N15" s="50"/>
      <c r="O15" s="52"/>
      <c r="P15" s="50"/>
    </row>
    <row r="16" spans="1:16" x14ac:dyDescent="0.2">
      <c r="A16" s="38" t="s">
        <v>167</v>
      </c>
      <c r="C16" s="48">
        <v>14908.55032</v>
      </c>
      <c r="D16" s="48">
        <v>1242.3791933333334</v>
      </c>
      <c r="E16" s="127">
        <v>3.2827950459650944E-3</v>
      </c>
      <c r="F16" s="50">
        <v>14862.878528661635</v>
      </c>
      <c r="G16" s="48">
        <v>-45.671791338365438</v>
      </c>
      <c r="H16" s="56">
        <v>-8.9111817974768748E-2</v>
      </c>
      <c r="I16" s="56">
        <v>4.6145240103091845E-2</v>
      </c>
      <c r="J16" s="56">
        <v>0.9570334221283231</v>
      </c>
      <c r="K16" s="50">
        <v>14267.980931721906</v>
      </c>
      <c r="L16" s="56">
        <v>2.6985591698346963E-3</v>
      </c>
      <c r="M16" s="127">
        <v>2.6985591698346959E-3</v>
      </c>
      <c r="N16" s="50">
        <v>0</v>
      </c>
      <c r="O16" s="52">
        <v>14862.88</v>
      </c>
      <c r="P16" s="50">
        <v>1238.5733333333333</v>
      </c>
    </row>
    <row r="17" spans="1:16" x14ac:dyDescent="0.2">
      <c r="A17" s="38" t="s">
        <v>168</v>
      </c>
      <c r="C17" s="48">
        <v>222753.33656</v>
      </c>
      <c r="D17" s="48">
        <v>18562.778046666666</v>
      </c>
      <c r="E17" s="127">
        <v>4.9049272668072755E-2</v>
      </c>
      <c r="F17" s="50">
        <v>222070.939969525</v>
      </c>
      <c r="G17" s="48">
        <v>-682.39659047499299</v>
      </c>
      <c r="H17" s="56">
        <v>5.360130950052977E-2</v>
      </c>
      <c r="I17" s="56">
        <v>6.8928662436848892E-2</v>
      </c>
      <c r="J17" s="56">
        <v>1.1225299719373787</v>
      </c>
      <c r="K17" s="50">
        <v>250047.29663765428</v>
      </c>
      <c r="L17" s="56">
        <v>4.7292425498951469E-2</v>
      </c>
      <c r="M17" s="127">
        <v>4.7292425498951456E-2</v>
      </c>
      <c r="N17" s="50">
        <v>0</v>
      </c>
      <c r="O17" s="52">
        <v>222070.94</v>
      </c>
      <c r="P17" s="50">
        <v>18505.911666666667</v>
      </c>
    </row>
    <row r="18" spans="1:16" x14ac:dyDescent="0.2">
      <c r="A18" s="38" t="s">
        <v>169</v>
      </c>
      <c r="C18" s="48">
        <v>19887.661520000001</v>
      </c>
      <c r="D18" s="48">
        <v>1657.3051266666669</v>
      </c>
      <c r="E18" s="127">
        <v>4.3791727104481237E-3</v>
      </c>
      <c r="F18" s="50">
        <v>19826.736406045027</v>
      </c>
      <c r="G18" s="48">
        <v>-60.925113954974222</v>
      </c>
      <c r="H18" s="56">
        <v>-0.12535576209777846</v>
      </c>
      <c r="I18" s="56">
        <v>2.1301683020550542E-2</v>
      </c>
      <c r="J18" s="56">
        <v>0.89594592092277203</v>
      </c>
      <c r="K18" s="50">
        <v>17818.269215536777</v>
      </c>
      <c r="L18" s="56">
        <v>3.3700391115091826E-3</v>
      </c>
      <c r="M18" s="127">
        <v>3.3700391115091817E-3</v>
      </c>
      <c r="N18" s="50">
        <v>0</v>
      </c>
      <c r="O18" s="52">
        <v>19826.740000000002</v>
      </c>
      <c r="P18" s="50">
        <v>1652.2283333333335</v>
      </c>
    </row>
    <row r="19" spans="1:16" x14ac:dyDescent="0.2">
      <c r="C19" s="48"/>
      <c r="D19" s="48"/>
      <c r="E19" s="127"/>
      <c r="F19" s="50"/>
      <c r="G19" s="48"/>
      <c r="J19" s="56"/>
      <c r="L19" s="56"/>
      <c r="M19" s="56"/>
      <c r="N19" s="50"/>
      <c r="O19" s="52"/>
      <c r="P19" s="50"/>
    </row>
    <row r="20" spans="1:16" x14ac:dyDescent="0.2">
      <c r="A20" s="39"/>
      <c r="C20" s="48"/>
      <c r="D20" s="48"/>
      <c r="E20" s="127"/>
      <c r="F20" s="50"/>
      <c r="G20" s="48"/>
      <c r="J20" s="56"/>
      <c r="L20" s="56"/>
      <c r="M20" s="56"/>
      <c r="N20" s="50"/>
      <c r="O20" s="52"/>
      <c r="P20" s="50"/>
    </row>
    <row r="21" spans="1:16" ht="15" x14ac:dyDescent="0.35">
      <c r="A21" s="38" t="s">
        <v>269</v>
      </c>
      <c r="C21" s="58">
        <v>699390.37159999995</v>
      </c>
      <c r="D21" s="58">
        <v>58282.530966666665</v>
      </c>
      <c r="E21" s="125">
        <v>0.15400258226342201</v>
      </c>
      <c r="F21" s="59">
        <v>697247.81511864136</v>
      </c>
      <c r="G21" s="58">
        <v>-2142.5564813585952</v>
      </c>
      <c r="H21" s="56"/>
      <c r="I21" s="56">
        <v>0.1530265874764172</v>
      </c>
      <c r="J21" s="56">
        <v>1.1530265874764172</v>
      </c>
      <c r="K21" s="59">
        <v>806415.69347981131</v>
      </c>
      <c r="L21" s="82">
        <v>0.15252056158137328</v>
      </c>
      <c r="M21" s="125">
        <v>0.15252056158137325</v>
      </c>
      <c r="N21" s="59">
        <v>0</v>
      </c>
      <c r="O21" s="60">
        <v>697247.82</v>
      </c>
      <c r="P21" s="59">
        <v>58103.984999999993</v>
      </c>
    </row>
    <row r="22" spans="1:16" x14ac:dyDescent="0.2">
      <c r="C22" s="48"/>
      <c r="D22" s="48"/>
      <c r="N22" s="50"/>
    </row>
    <row r="23" spans="1:16" ht="13.5" thickBot="1" x14ac:dyDescent="0.25">
      <c r="A23" s="64" t="s">
        <v>270</v>
      </c>
      <c r="C23" s="68">
        <v>4544973.7692067921</v>
      </c>
      <c r="D23" s="68">
        <v>378747.81410056597</v>
      </c>
      <c r="E23" s="84">
        <v>1</v>
      </c>
      <c r="F23" s="68">
        <v>4531061.2980659269</v>
      </c>
      <c r="G23" s="68">
        <v>-13912.471140865237</v>
      </c>
      <c r="K23" s="68">
        <v>5287258.8791877069</v>
      </c>
      <c r="L23" s="84">
        <v>1.0000000000000002</v>
      </c>
      <c r="M23" s="84">
        <v>1</v>
      </c>
      <c r="N23" s="68">
        <v>0</v>
      </c>
      <c r="O23" s="100">
        <v>4531061.2980659269</v>
      </c>
      <c r="P23" s="68">
        <v>377588.44150549389</v>
      </c>
    </row>
    <row r="24" spans="1:16" ht="13.5" thickTop="1" x14ac:dyDescent="0.2">
      <c r="A24" s="71"/>
      <c r="C24" s="71"/>
      <c r="D24" s="71"/>
    </row>
    <row r="25" spans="1:16" ht="25.5" x14ac:dyDescent="0.2">
      <c r="A25" s="129" t="s">
        <v>536</v>
      </c>
      <c r="D25" s="50"/>
    </row>
    <row r="29" spans="1:16" x14ac:dyDescent="0.2">
      <c r="C29" s="130"/>
    </row>
  </sheetData>
  <phoneticPr fontId="0" type="noConversion"/>
  <printOptions horizontalCentered="1" verticalCentered="1"/>
  <pageMargins left="0.75" right="0.75" top="1" bottom="1" header="0.5" footer="0.5"/>
  <pageSetup scale="83" firstPageNumber="26"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27"/>
  <sheetViews>
    <sheetView zoomScaleNormal="100" workbookViewId="0">
      <pane xSplit="1" ySplit="5" topLeftCell="B6" activePane="bottomRight" state="frozen"/>
      <selection sqref="A1:XFD1048576"/>
      <selection pane="topRight" sqref="A1:XFD1048576"/>
      <selection pane="bottomLeft" sqref="A1:XFD1048576"/>
      <selection pane="bottomRight" activeCell="B7" sqref="B7"/>
    </sheetView>
  </sheetViews>
  <sheetFormatPr defaultColWidth="13" defaultRowHeight="12.75" x14ac:dyDescent="0.2"/>
  <cols>
    <col min="1" max="1" width="41.28515625" style="38" customWidth="1"/>
    <col min="2" max="2" width="15.28515625" style="38" bestFit="1" customWidth="1"/>
    <col min="3" max="3" width="15.85546875" style="38" bestFit="1" customWidth="1"/>
    <col min="4" max="4" width="13" style="38" hidden="1" customWidth="1"/>
    <col min="5" max="5" width="14.42578125" style="38" customWidth="1"/>
    <col min="6" max="6" width="13.85546875" style="38" bestFit="1" customWidth="1"/>
    <col min="7" max="7" width="15" style="38" bestFit="1" customWidth="1"/>
    <col min="8" max="8" width="13.28515625" style="38" bestFit="1" customWidth="1"/>
    <col min="9" max="9" width="13" style="38" customWidth="1"/>
    <col min="10" max="10" width="9.28515625" style="38" bestFit="1" customWidth="1"/>
    <col min="11" max="11" width="13" style="38" customWidth="1"/>
    <col min="12" max="12" width="13" style="38" hidden="1" customWidth="1"/>
    <col min="13" max="13" width="14" style="38" customWidth="1"/>
    <col min="14" max="14" width="15" style="38" bestFit="1" customWidth="1"/>
    <col min="15" max="15" width="13.85546875" style="39" bestFit="1" customWidth="1"/>
    <col min="16" max="16" width="13.85546875"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4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41" t="s">
        <v>44</v>
      </c>
      <c r="K4" s="41" t="s">
        <v>44</v>
      </c>
      <c r="M4" s="41" t="s">
        <v>37</v>
      </c>
      <c r="N4" s="43" t="s">
        <v>43</v>
      </c>
      <c r="O4" s="41" t="s">
        <v>554</v>
      </c>
      <c r="P4" s="41" t="s">
        <v>323</v>
      </c>
    </row>
    <row r="5" spans="1:16" x14ac:dyDescent="0.2">
      <c r="A5" s="39" t="s">
        <v>271</v>
      </c>
      <c r="B5" s="44" t="s">
        <v>45</v>
      </c>
      <c r="C5" s="44" t="s">
        <v>47</v>
      </c>
      <c r="D5" s="44" t="s">
        <v>324</v>
      </c>
      <c r="E5" s="44" t="s">
        <v>324</v>
      </c>
      <c r="F5" s="44" t="s">
        <v>47</v>
      </c>
      <c r="G5" s="44" t="s">
        <v>374</v>
      </c>
      <c r="H5" s="44" t="s">
        <v>48</v>
      </c>
      <c r="I5" s="44" t="s">
        <v>48</v>
      </c>
      <c r="J5" s="44" t="s">
        <v>48</v>
      </c>
      <c r="K5" s="44" t="s">
        <v>49</v>
      </c>
      <c r="M5" s="44" t="s">
        <v>42</v>
      </c>
      <c r="N5" s="45" t="s">
        <v>47</v>
      </c>
      <c r="O5" s="44" t="s">
        <v>47</v>
      </c>
      <c r="P5" s="44" t="s">
        <v>47</v>
      </c>
    </row>
    <row r="6" spans="1:16" s="39" customFormat="1" x14ac:dyDescent="0.2">
      <c r="B6" s="44"/>
      <c r="C6" s="44"/>
      <c r="D6" s="44"/>
      <c r="E6" s="44"/>
      <c r="F6" s="44"/>
      <c r="G6" s="44"/>
      <c r="H6" s="44"/>
      <c r="I6" s="44"/>
      <c r="J6" s="44"/>
      <c r="K6" s="44"/>
      <c r="M6" s="44"/>
      <c r="N6" s="45"/>
      <c r="O6" s="44"/>
    </row>
    <row r="7" spans="1:16" x14ac:dyDescent="0.2">
      <c r="A7" s="49" t="s">
        <v>50</v>
      </c>
      <c r="B7" s="50">
        <v>1693195.6391486092</v>
      </c>
      <c r="C7" s="46"/>
      <c r="D7" s="46"/>
      <c r="E7" s="46"/>
      <c r="F7" s="46"/>
      <c r="H7" s="24"/>
      <c r="I7" s="24"/>
    </row>
    <row r="8" spans="1:16" x14ac:dyDescent="0.2">
      <c r="D8" s="50"/>
      <c r="H8" s="24"/>
      <c r="I8" s="24"/>
    </row>
    <row r="9" spans="1:16" x14ac:dyDescent="0.2">
      <c r="A9" s="39" t="s">
        <v>55</v>
      </c>
    </row>
    <row r="10" spans="1:16" hidden="1" x14ac:dyDescent="0.2">
      <c r="A10" s="38" t="s">
        <v>337</v>
      </c>
      <c r="L10" s="54">
        <v>0.74857890925591075</v>
      </c>
      <c r="M10" s="54"/>
    </row>
    <row r="11" spans="1:16" hidden="1" x14ac:dyDescent="0.2">
      <c r="A11" s="38" t="s">
        <v>329</v>
      </c>
      <c r="L11" s="55">
        <v>0</v>
      </c>
      <c r="M11" s="55"/>
    </row>
    <row r="12" spans="1:16" x14ac:dyDescent="0.2">
      <c r="A12" s="38" t="s">
        <v>272</v>
      </c>
      <c r="C12" s="48">
        <v>1236255.9298087307</v>
      </c>
      <c r="D12" s="48">
        <v>103021.32748406089</v>
      </c>
      <c r="E12" s="127">
        <v>0.73066994320443512</v>
      </c>
      <c r="F12" s="48" t="s">
        <v>105</v>
      </c>
      <c r="G12" s="48" t="s">
        <v>105</v>
      </c>
      <c r="H12" s="56">
        <v>3.4625489463113376E-2</v>
      </c>
      <c r="I12" s="56">
        <v>0.12642447340353474</v>
      </c>
      <c r="J12" s="56">
        <v>1.1610499628666482</v>
      </c>
      <c r="K12" s="50">
        <v>1435354.9013981004</v>
      </c>
      <c r="L12" s="56">
        <v>0.74857890925591075</v>
      </c>
      <c r="M12" s="127">
        <v>0.74857890925591075</v>
      </c>
      <c r="N12" s="50">
        <v>933.56627697734723</v>
      </c>
      <c r="O12" s="52">
        <v>1237189.4991486091</v>
      </c>
      <c r="P12" s="50">
        <v>103099.12492905075</v>
      </c>
    </row>
    <row r="13" spans="1:16" x14ac:dyDescent="0.2">
      <c r="C13" s="48"/>
      <c r="D13" s="48"/>
      <c r="E13" s="127"/>
      <c r="F13" s="48"/>
      <c r="G13" s="48"/>
      <c r="J13" s="56"/>
      <c r="L13" s="56"/>
      <c r="M13" s="56"/>
      <c r="N13" s="50"/>
      <c r="O13" s="52"/>
      <c r="P13" s="50"/>
    </row>
    <row r="14" spans="1:16" x14ac:dyDescent="0.2">
      <c r="A14" s="38" t="s">
        <v>173</v>
      </c>
      <c r="C14" s="48">
        <v>138574.61744</v>
      </c>
      <c r="D14" s="48">
        <v>11547.884786666667</v>
      </c>
      <c r="E14" s="127">
        <v>8.1902383974915727E-2</v>
      </c>
      <c r="F14" s="48" t="s">
        <v>105</v>
      </c>
      <c r="G14" s="48" t="s">
        <v>105</v>
      </c>
      <c r="H14" s="56">
        <v>-8.331762402231874E-3</v>
      </c>
      <c r="I14" s="56">
        <v>2.5257816313104958E-2</v>
      </c>
      <c r="J14" s="56">
        <v>1.0169260539108731</v>
      </c>
      <c r="K14" s="50">
        <v>140920.13888546807</v>
      </c>
      <c r="L14" s="56">
        <v>7.3493909942637367E-2</v>
      </c>
      <c r="M14" s="127">
        <v>7.3493909942637353E-2</v>
      </c>
      <c r="N14" s="50">
        <v>91.655582380562038</v>
      </c>
      <c r="O14" s="52">
        <v>138666.26999999999</v>
      </c>
      <c r="P14" s="50">
        <v>11555.522499999999</v>
      </c>
    </row>
    <row r="15" spans="1:16" x14ac:dyDescent="0.2">
      <c r="C15" s="48"/>
      <c r="D15" s="48"/>
      <c r="E15" s="127"/>
      <c r="F15" s="48"/>
      <c r="G15" s="48"/>
      <c r="J15" s="56"/>
      <c r="L15" s="56"/>
      <c r="M15" s="56"/>
      <c r="N15" s="50"/>
      <c r="O15" s="52"/>
      <c r="P15" s="50"/>
    </row>
    <row r="16" spans="1:16" x14ac:dyDescent="0.2">
      <c r="A16" s="38" t="s">
        <v>174</v>
      </c>
      <c r="C16" s="48">
        <v>21032.51064</v>
      </c>
      <c r="D16" s="48">
        <v>1752.70922</v>
      </c>
      <c r="E16" s="127">
        <v>1.243094005393619E-2</v>
      </c>
      <c r="F16" s="48" t="s">
        <v>105</v>
      </c>
      <c r="G16" s="48" t="s">
        <v>105</v>
      </c>
      <c r="H16" s="56">
        <v>5.7891454469653172E-2</v>
      </c>
      <c r="I16" s="56">
        <v>7.7509029390859545E-3</v>
      </c>
      <c r="J16" s="56">
        <v>1.065642357408739</v>
      </c>
      <c r="K16" s="50">
        <v>22413.134220633987</v>
      </c>
      <c r="L16" s="56">
        <v>1.1689094837483042E-2</v>
      </c>
      <c r="M16" s="127">
        <v>1.168909483748304E-2</v>
      </c>
      <c r="N16" s="50">
        <v>14.577681275460014</v>
      </c>
      <c r="O16" s="52">
        <v>21047.09</v>
      </c>
      <c r="P16" s="50">
        <v>1753.9241666666667</v>
      </c>
    </row>
    <row r="17" spans="1:16" x14ac:dyDescent="0.2">
      <c r="A17" s="38" t="s">
        <v>175</v>
      </c>
      <c r="C17" s="48">
        <v>38107.406640000001</v>
      </c>
      <c r="D17" s="48">
        <v>3175.6172200000001</v>
      </c>
      <c r="E17" s="127">
        <v>2.2522793196733164E-2</v>
      </c>
      <c r="F17" s="48" t="s">
        <v>105</v>
      </c>
      <c r="G17" s="48" t="s">
        <v>105</v>
      </c>
      <c r="H17" s="56">
        <v>4.0654762606994244E-2</v>
      </c>
      <c r="I17" s="56">
        <v>1.1162111833392087E-2</v>
      </c>
      <c r="J17" s="56">
        <v>1.0518168744403864</v>
      </c>
      <c r="K17" s="50">
        <v>40082.013345113628</v>
      </c>
      <c r="L17" s="56">
        <v>2.090392404097428E-2</v>
      </c>
      <c r="M17" s="127">
        <v>2.0903924040974277E-2</v>
      </c>
      <c r="N17" s="50">
        <v>26.069661193831621</v>
      </c>
      <c r="O17" s="52">
        <v>38133.480000000003</v>
      </c>
      <c r="P17" s="50">
        <v>3177.7900000000004</v>
      </c>
    </row>
    <row r="18" spans="1:16" x14ac:dyDescent="0.2">
      <c r="A18" s="38" t="s">
        <v>176</v>
      </c>
      <c r="C18" s="48">
        <v>50782.982000000004</v>
      </c>
      <c r="D18" s="48">
        <v>4231.9151666666667</v>
      </c>
      <c r="E18" s="127">
        <v>3.0014495930007556E-2</v>
      </c>
      <c r="F18" s="48" t="s">
        <v>105</v>
      </c>
      <c r="G18" s="48" t="s">
        <v>105</v>
      </c>
      <c r="H18" s="56">
        <v>-6.3750923002155345E-3</v>
      </c>
      <c r="I18" s="56">
        <v>5.1256015757199645E-2</v>
      </c>
      <c r="J18" s="56">
        <v>1.044880923456984</v>
      </c>
      <c r="K18" s="50">
        <v>53062.169128059402</v>
      </c>
      <c r="L18" s="56">
        <v>2.7673449019434221E-2</v>
      </c>
      <c r="M18" s="127">
        <v>2.7673449019434214E-2</v>
      </c>
      <c r="N18" s="50">
        <v>34.512058051269001</v>
      </c>
      <c r="O18" s="52">
        <v>50817.49</v>
      </c>
      <c r="P18" s="50">
        <v>4234.7908333333335</v>
      </c>
    </row>
    <row r="19" spans="1:16" x14ac:dyDescent="0.2">
      <c r="C19" s="48"/>
      <c r="D19" s="48"/>
      <c r="E19" s="127"/>
      <c r="F19" s="48"/>
      <c r="G19" s="48"/>
      <c r="J19" s="56"/>
      <c r="L19" s="56"/>
      <c r="M19" s="56"/>
      <c r="N19" s="50"/>
      <c r="O19" s="52"/>
      <c r="P19" s="50"/>
    </row>
    <row r="20" spans="1:16" x14ac:dyDescent="0.2">
      <c r="A20" s="39"/>
      <c r="C20" s="48"/>
      <c r="D20" s="48"/>
      <c r="E20" s="127"/>
      <c r="F20" s="48"/>
      <c r="G20" s="48"/>
      <c r="J20" s="56"/>
      <c r="L20" s="56"/>
      <c r="M20" s="56"/>
      <c r="N20" s="50"/>
      <c r="O20" s="52"/>
      <c r="P20" s="50"/>
    </row>
    <row r="21" spans="1:16" x14ac:dyDescent="0.2">
      <c r="A21" s="38" t="s">
        <v>273</v>
      </c>
      <c r="C21" s="48">
        <v>130325.84552</v>
      </c>
      <c r="D21" s="48">
        <v>10860.487126666667</v>
      </c>
      <c r="E21" s="127">
        <v>7.7027074934962136E-2</v>
      </c>
      <c r="F21" s="48" t="s">
        <v>105</v>
      </c>
      <c r="G21" s="48" t="s">
        <v>105</v>
      </c>
      <c r="I21" s="56">
        <v>0.12642447340353474</v>
      </c>
      <c r="J21" s="56">
        <v>1.1264244734035347</v>
      </c>
      <c r="K21" s="50">
        <v>146802.22191073641</v>
      </c>
      <c r="L21" s="56">
        <v>7.6561585603144161E-2</v>
      </c>
      <c r="M21" s="127">
        <v>7.6561585603144147E-2</v>
      </c>
      <c r="N21" s="50">
        <v>95.481336098630379</v>
      </c>
      <c r="O21" s="52">
        <v>130421.33</v>
      </c>
      <c r="P21" s="50">
        <v>10868.444166666666</v>
      </c>
    </row>
    <row r="22" spans="1:16" x14ac:dyDescent="0.2">
      <c r="A22" s="38" t="s">
        <v>274</v>
      </c>
      <c r="C22" s="48">
        <v>49035.705839999995</v>
      </c>
      <c r="D22" s="48">
        <v>4086.3088199999997</v>
      </c>
      <c r="E22" s="127">
        <v>2.8981795384913148E-2</v>
      </c>
      <c r="F22" s="48" t="s">
        <v>105</v>
      </c>
      <c r="G22" s="48" t="s">
        <v>105</v>
      </c>
      <c r="I22" s="56">
        <v>1.5418497586544011E-2</v>
      </c>
      <c r="J22" s="56">
        <v>1.0154184975865439</v>
      </c>
      <c r="K22" s="50">
        <v>49791.762752148512</v>
      </c>
      <c r="L22" s="56">
        <v>2.596783792957879E-2</v>
      </c>
      <c r="M22" s="127">
        <v>2.5967837929578783E-2</v>
      </c>
      <c r="N22" s="50">
        <v>32.384959657980893</v>
      </c>
      <c r="O22" s="52">
        <v>49068.09</v>
      </c>
      <c r="P22" s="50">
        <v>4089.0074999999997</v>
      </c>
    </row>
    <row r="23" spans="1:16" ht="15" x14ac:dyDescent="0.35">
      <c r="A23" s="38" t="s">
        <v>275</v>
      </c>
      <c r="C23" s="58">
        <v>27833.5232</v>
      </c>
      <c r="D23" s="58">
        <v>2319.4602666666665</v>
      </c>
      <c r="E23" s="125">
        <v>1.6450573320097091E-2</v>
      </c>
      <c r="F23" s="58" t="s">
        <v>105</v>
      </c>
      <c r="G23" s="58" t="s">
        <v>105</v>
      </c>
      <c r="I23" s="56">
        <v>4.2388144099494082E-2</v>
      </c>
      <c r="J23" s="56">
        <v>1.042388144099494</v>
      </c>
      <c r="K23" s="59">
        <v>29013.334592198207</v>
      </c>
      <c r="L23" s="82">
        <v>1.5131289370837454E-2</v>
      </c>
      <c r="M23" s="125">
        <v>1.513128937083745E-2</v>
      </c>
      <c r="N23" s="59">
        <v>18.870504243622044</v>
      </c>
      <c r="O23" s="60">
        <v>27852.39</v>
      </c>
      <c r="P23" s="59">
        <v>2321.0324999999998</v>
      </c>
    </row>
    <row r="24" spans="1:16" x14ac:dyDescent="0.2">
      <c r="C24" s="48"/>
      <c r="D24" s="48"/>
      <c r="E24" s="56"/>
      <c r="F24" s="56"/>
      <c r="P24" s="50"/>
    </row>
    <row r="25" spans="1:16" ht="13.5" thickBot="1" x14ac:dyDescent="0.25">
      <c r="A25" s="64" t="s">
        <v>276</v>
      </c>
      <c r="C25" s="68">
        <v>1691948.5210887305</v>
      </c>
      <c r="D25" s="68">
        <v>140995.71009072757</v>
      </c>
      <c r="E25" s="84">
        <v>1</v>
      </c>
      <c r="F25" s="68">
        <v>0</v>
      </c>
      <c r="G25" s="68">
        <v>1247.1180598787032</v>
      </c>
      <c r="K25" s="68">
        <v>1917439.6762324586</v>
      </c>
      <c r="L25" s="84">
        <v>1.0000000000000002</v>
      </c>
      <c r="M25" s="84">
        <v>1.0000000000000002</v>
      </c>
      <c r="N25" s="68">
        <v>1247.1180598787032</v>
      </c>
      <c r="O25" s="100">
        <v>1693195.6391486092</v>
      </c>
      <c r="P25" s="68">
        <v>141099.63659571743</v>
      </c>
    </row>
    <row r="26" spans="1:16" ht="13.5" thickTop="1" x14ac:dyDescent="0.2">
      <c r="A26" s="71"/>
      <c r="C26" s="71"/>
      <c r="D26" s="71"/>
    </row>
    <row r="27" spans="1:16" ht="25.5" x14ac:dyDescent="0.2">
      <c r="A27" s="129" t="s">
        <v>536</v>
      </c>
    </row>
  </sheetData>
  <phoneticPr fontId="0" type="noConversion"/>
  <printOptions horizontalCentered="1" verticalCentered="1"/>
  <pageMargins left="0.75" right="0.75" top="1" bottom="1" header="0.5" footer="0.5"/>
  <pageSetup scale="83" firstPageNumber="28"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37"/>
  <sheetViews>
    <sheetView zoomScaleNormal="100" workbookViewId="0">
      <pane xSplit="1" ySplit="5" topLeftCell="B6" activePane="bottomRight" state="frozen"/>
      <selection sqref="A1:XFD1048576"/>
      <selection pane="topRight" sqref="A1:XFD1048576"/>
      <selection pane="bottomLeft" sqref="A1:XFD1048576"/>
      <selection pane="bottomRight" activeCell="B7" sqref="B7"/>
    </sheetView>
  </sheetViews>
  <sheetFormatPr defaultColWidth="13" defaultRowHeight="12.75" x14ac:dyDescent="0.2"/>
  <cols>
    <col min="1" max="1" width="40.5703125" style="38" bestFit="1" customWidth="1"/>
    <col min="2" max="2" width="15.28515625" style="38" bestFit="1" customWidth="1"/>
    <col min="3" max="3" width="15.85546875" style="38" bestFit="1" customWidth="1"/>
    <col min="4" max="4" width="13" style="38" hidden="1" customWidth="1"/>
    <col min="5" max="5" width="14.42578125" style="38" customWidth="1"/>
    <col min="6" max="6" width="13.85546875" style="38" bestFit="1" customWidth="1"/>
    <col min="7" max="7" width="15" style="38" bestFit="1" customWidth="1"/>
    <col min="8" max="11" width="13" style="38" customWidth="1"/>
    <col min="12" max="12" width="13" style="38" hidden="1" customWidth="1"/>
    <col min="13" max="13" width="14" style="38" customWidth="1"/>
    <col min="14" max="14" width="15" style="38" bestFit="1" customWidth="1"/>
    <col min="15" max="15" width="13.85546875" style="39" bestFit="1" customWidth="1"/>
    <col min="16" max="16" width="13.85546875"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A5" s="39" t="s">
        <v>277</v>
      </c>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s="39" customFormat="1" x14ac:dyDescent="0.2">
      <c r="B6" s="44"/>
      <c r="C6" s="44"/>
      <c r="D6" s="44"/>
      <c r="E6" s="44"/>
      <c r="F6" s="44"/>
      <c r="G6" s="44"/>
      <c r="H6" s="44"/>
      <c r="I6" s="44"/>
      <c r="J6" s="44"/>
      <c r="K6" s="44"/>
      <c r="M6" s="44"/>
      <c r="N6" s="45"/>
      <c r="O6" s="44"/>
    </row>
    <row r="7" spans="1:16" x14ac:dyDescent="0.2">
      <c r="A7" s="49" t="s">
        <v>50</v>
      </c>
      <c r="B7" s="50">
        <v>15630166.628964193</v>
      </c>
      <c r="C7" s="46"/>
      <c r="E7" s="46"/>
      <c r="F7" s="46"/>
      <c r="H7" s="24"/>
      <c r="I7" s="24"/>
    </row>
    <row r="8" spans="1:16" x14ac:dyDescent="0.2">
      <c r="A8" s="49"/>
      <c r="B8" s="50"/>
      <c r="C8" s="46"/>
      <c r="D8" s="50"/>
      <c r="E8" s="46"/>
      <c r="F8" s="46"/>
      <c r="H8" s="24"/>
      <c r="I8" s="24"/>
    </row>
    <row r="9" spans="1:16" x14ac:dyDescent="0.2">
      <c r="A9" s="39" t="s">
        <v>320</v>
      </c>
    </row>
    <row r="10" spans="1:16" x14ac:dyDescent="0.2">
      <c r="A10" s="38" t="s">
        <v>278</v>
      </c>
      <c r="C10" s="50">
        <v>19064</v>
      </c>
      <c r="D10" s="48">
        <v>1588.6666666666667</v>
      </c>
      <c r="F10" s="50" t="s">
        <v>105</v>
      </c>
      <c r="G10" s="50"/>
      <c r="O10" s="52">
        <v>19064</v>
      </c>
      <c r="P10" s="50">
        <v>1588.6666666666667</v>
      </c>
    </row>
    <row r="11" spans="1:16" x14ac:dyDescent="0.2">
      <c r="A11" s="38" t="s">
        <v>279</v>
      </c>
      <c r="C11" s="50">
        <v>2303.6</v>
      </c>
      <c r="D11" s="48">
        <v>191.96666666666667</v>
      </c>
      <c r="F11" s="50" t="s">
        <v>105</v>
      </c>
      <c r="G11" s="50"/>
      <c r="O11" s="52">
        <v>2303.6</v>
      </c>
      <c r="P11" s="50">
        <v>191.96666666666667</v>
      </c>
    </row>
    <row r="12" spans="1:16" x14ac:dyDescent="0.2">
      <c r="D12" s="48"/>
      <c r="P12" s="50"/>
    </row>
    <row r="13" spans="1:16" x14ac:dyDescent="0.2">
      <c r="A13" s="39" t="s">
        <v>55</v>
      </c>
      <c r="D13" s="48"/>
      <c r="P13" s="50"/>
    </row>
    <row r="14" spans="1:16" hidden="1" x14ac:dyDescent="0.2">
      <c r="A14" s="38" t="s">
        <v>338</v>
      </c>
      <c r="D14" s="48"/>
      <c r="L14" s="54">
        <v>0.88657161200265078</v>
      </c>
      <c r="M14" s="54"/>
      <c r="P14" s="50">
        <v>0</v>
      </c>
    </row>
    <row r="15" spans="1:16" hidden="1" x14ac:dyDescent="0.2">
      <c r="A15" s="38" t="s">
        <v>329</v>
      </c>
      <c r="D15" s="48"/>
      <c r="L15" s="55">
        <v>0</v>
      </c>
      <c r="M15" s="55"/>
      <c r="P15" s="50">
        <v>0</v>
      </c>
    </row>
    <row r="16" spans="1:16" x14ac:dyDescent="0.2">
      <c r="A16" s="38" t="s">
        <v>180</v>
      </c>
      <c r="C16" s="48">
        <v>13729343.428285323</v>
      </c>
      <c r="D16" s="48">
        <v>1144111.9523571103</v>
      </c>
      <c r="E16" s="127">
        <v>0.88484477856333499</v>
      </c>
      <c r="F16" s="325" t="s">
        <v>105</v>
      </c>
      <c r="G16" s="325" t="s">
        <v>105</v>
      </c>
      <c r="H16" s="56">
        <v>-1.6438931287884539E-3</v>
      </c>
      <c r="I16" s="56">
        <v>3.1144985942827226E-2</v>
      </c>
      <c r="J16" s="56">
        <v>1.0295010928140387</v>
      </c>
      <c r="K16" s="50">
        <v>14134374.063038981</v>
      </c>
      <c r="L16" s="56">
        <v>0.88657161200265078</v>
      </c>
      <c r="M16" s="127">
        <v>0.88657161200265078</v>
      </c>
      <c r="N16" s="50">
        <v>82180.961364585761</v>
      </c>
      <c r="O16" s="52">
        <v>13811524.398964195</v>
      </c>
      <c r="P16" s="50">
        <v>1150960.3665803496</v>
      </c>
    </row>
    <row r="17" spans="1:16" x14ac:dyDescent="0.2">
      <c r="C17" s="48"/>
      <c r="D17" s="48"/>
      <c r="E17" s="127"/>
      <c r="F17" s="325"/>
      <c r="G17" s="325" t="s">
        <v>105</v>
      </c>
      <c r="J17" s="56"/>
      <c r="L17" s="56"/>
      <c r="M17" s="56"/>
      <c r="N17" s="50"/>
      <c r="O17" s="52"/>
      <c r="P17" s="50"/>
    </row>
    <row r="18" spans="1:16" x14ac:dyDescent="0.2">
      <c r="A18" s="38" t="s">
        <v>182</v>
      </c>
      <c r="C18" s="48">
        <v>143984.79712</v>
      </c>
      <c r="D18" s="48">
        <v>11998.733093333334</v>
      </c>
      <c r="E18" s="127">
        <v>9.2797005617656705E-3</v>
      </c>
      <c r="F18" s="325" t="s">
        <v>105</v>
      </c>
      <c r="G18" s="325" t="s">
        <v>105</v>
      </c>
      <c r="H18" s="56">
        <v>1.6820524698033788E-3</v>
      </c>
      <c r="I18" s="56">
        <v>8.5959886754501252E-2</v>
      </c>
      <c r="J18" s="56">
        <v>1.0876419392243046</v>
      </c>
      <c r="K18" s="50">
        <v>156603.90395841488</v>
      </c>
      <c r="L18" s="56">
        <v>9.8229023060444308E-3</v>
      </c>
      <c r="M18" s="127">
        <v>9.8229023060444325E-3</v>
      </c>
      <c r="N18" s="50">
        <v>910.53620933976424</v>
      </c>
      <c r="O18" s="52">
        <v>144895.32999999999</v>
      </c>
      <c r="P18" s="50">
        <v>12074.610833333332</v>
      </c>
    </row>
    <row r="19" spans="1:16" x14ac:dyDescent="0.2">
      <c r="A19" s="38" t="s">
        <v>181</v>
      </c>
      <c r="C19" s="48">
        <v>397608.94824</v>
      </c>
      <c r="D19" s="48">
        <v>33134.079019999997</v>
      </c>
      <c r="E19" s="127">
        <v>2.5625566408033464E-2</v>
      </c>
      <c r="F19" s="325" t="s">
        <v>105</v>
      </c>
      <c r="G19" s="325" t="s">
        <v>105</v>
      </c>
      <c r="H19" s="56">
        <v>-2.448199278863296E-3</v>
      </c>
      <c r="I19" s="56">
        <v>7.935319483193596E-3</v>
      </c>
      <c r="J19" s="56">
        <v>1.0054871202043303</v>
      </c>
      <c r="K19" s="50">
        <v>399790.6763333102</v>
      </c>
      <c r="L19" s="56">
        <v>2.5076672146898404E-2</v>
      </c>
      <c r="M19" s="127">
        <v>2.5076672146898408E-2</v>
      </c>
      <c r="N19" s="50">
        <v>2324.4879454255301</v>
      </c>
      <c r="O19" s="52">
        <v>399933.44</v>
      </c>
      <c r="P19" s="50">
        <v>33327.786666666667</v>
      </c>
    </row>
    <row r="20" spans="1:16" x14ac:dyDescent="0.2">
      <c r="C20" s="48"/>
      <c r="D20" s="48"/>
      <c r="E20" s="127"/>
      <c r="F20" s="325"/>
      <c r="G20" s="325" t="s">
        <v>105</v>
      </c>
      <c r="J20" s="56"/>
      <c r="L20" s="56"/>
      <c r="M20" s="56"/>
      <c r="N20" s="50"/>
      <c r="O20" s="52"/>
      <c r="P20" s="50"/>
    </row>
    <row r="21" spans="1:16" x14ac:dyDescent="0.2">
      <c r="C21" s="48"/>
      <c r="D21" s="48"/>
      <c r="E21" s="127"/>
      <c r="F21" s="325"/>
      <c r="G21" s="325" t="s">
        <v>105</v>
      </c>
      <c r="J21" s="56"/>
      <c r="L21" s="56"/>
      <c r="M21" s="56"/>
      <c r="N21" s="50"/>
      <c r="O21" s="52"/>
      <c r="P21" s="50"/>
    </row>
    <row r="22" spans="1:16" x14ac:dyDescent="0.2">
      <c r="A22" s="39" t="s">
        <v>60</v>
      </c>
      <c r="C22" s="48"/>
      <c r="D22" s="48"/>
      <c r="E22" s="127"/>
      <c r="F22" s="325"/>
      <c r="G22" s="325" t="s">
        <v>105</v>
      </c>
      <c r="J22" s="56"/>
      <c r="L22" s="56"/>
      <c r="M22" s="56"/>
      <c r="N22" s="50"/>
      <c r="O22" s="52"/>
      <c r="P22" s="50"/>
    </row>
    <row r="23" spans="1:16" x14ac:dyDescent="0.2">
      <c r="A23" s="38" t="s">
        <v>61</v>
      </c>
      <c r="C23" s="48">
        <v>9899.1623200000013</v>
      </c>
      <c r="D23" s="48">
        <v>824.93019333333348</v>
      </c>
      <c r="E23" s="127">
        <v>6.3799278798409831E-4</v>
      </c>
      <c r="F23" s="325" t="s">
        <v>105</v>
      </c>
      <c r="G23" s="325" t="s">
        <v>105</v>
      </c>
      <c r="I23" s="56">
        <v>8.6613185560303792E-3</v>
      </c>
      <c r="J23" s="56">
        <v>1.0086613185560305</v>
      </c>
      <c r="K23" s="50">
        <v>9984.9021182913748</v>
      </c>
      <c r="L23" s="56">
        <v>6.262980396033865E-4</v>
      </c>
      <c r="M23" s="127">
        <v>6.2629803960338661E-4</v>
      </c>
      <c r="N23" s="50">
        <v>58.054842156628659</v>
      </c>
      <c r="O23" s="52">
        <v>9957.2199999999993</v>
      </c>
      <c r="P23" s="50">
        <v>829.76833333333332</v>
      </c>
    </row>
    <row r="24" spans="1:16" x14ac:dyDescent="0.2">
      <c r="A24" s="38" t="s">
        <v>280</v>
      </c>
      <c r="C24" s="48">
        <v>521845.06248000002</v>
      </c>
      <c r="D24" s="48">
        <v>43487.088540000004</v>
      </c>
      <c r="E24" s="127">
        <v>3.3632480764023996E-2</v>
      </c>
      <c r="F24" s="325" t="s">
        <v>105</v>
      </c>
      <c r="G24" s="325" t="s">
        <v>105</v>
      </c>
      <c r="I24" s="56">
        <v>-4.5052245477485379E-3</v>
      </c>
      <c r="J24" s="56">
        <v>0.99549477545225151</v>
      </c>
      <c r="K24" s="50">
        <v>519494.0332943938</v>
      </c>
      <c r="L24" s="56">
        <v>3.258500592027945E-2</v>
      </c>
      <c r="M24" s="127">
        <v>3.2585005920279457E-2</v>
      </c>
      <c r="N24" s="50">
        <v>3020.4746873750314</v>
      </c>
      <c r="O24" s="52">
        <v>524865.54</v>
      </c>
      <c r="P24" s="50">
        <v>43738.795000000006</v>
      </c>
    </row>
    <row r="25" spans="1:16" x14ac:dyDescent="0.2">
      <c r="A25" s="38" t="s">
        <v>281</v>
      </c>
      <c r="C25" s="48">
        <v>77012.210720000003</v>
      </c>
      <c r="D25" s="48">
        <v>6417.6842266666672</v>
      </c>
      <c r="E25" s="127">
        <v>4.963373004481823E-3</v>
      </c>
      <c r="F25" s="325" t="s">
        <v>105</v>
      </c>
      <c r="G25" s="325" t="s">
        <v>105</v>
      </c>
      <c r="I25" s="56">
        <v>1.0661947772662914E-2</v>
      </c>
      <c r="J25" s="56">
        <v>1.0106619477726628</v>
      </c>
      <c r="K25" s="50">
        <v>77833.31088855394</v>
      </c>
      <c r="L25" s="56">
        <v>4.8820558727403788E-3</v>
      </c>
      <c r="M25" s="127">
        <v>4.8820558727403797E-3</v>
      </c>
      <c r="N25" s="50">
        <v>452.54330234095806</v>
      </c>
      <c r="O25" s="52">
        <v>77464.75</v>
      </c>
      <c r="P25" s="50">
        <v>6455.395833333333</v>
      </c>
    </row>
    <row r="26" spans="1:16" x14ac:dyDescent="0.2">
      <c r="A26" s="38" t="s">
        <v>282</v>
      </c>
      <c r="C26" s="48">
        <v>67574.881359999999</v>
      </c>
      <c r="D26" s="48">
        <v>5631.2401133333333</v>
      </c>
      <c r="E26" s="127">
        <v>4.3551449671108203E-3</v>
      </c>
      <c r="F26" s="325" t="s">
        <v>105</v>
      </c>
      <c r="G26" s="325" t="s">
        <v>105</v>
      </c>
      <c r="I26" s="56">
        <v>9.4207707167733197E-3</v>
      </c>
      <c r="J26" s="56">
        <v>1.0094207707167733</v>
      </c>
      <c r="K26" s="50">
        <v>68211.488823505715</v>
      </c>
      <c r="L26" s="56">
        <v>4.2785318496342305E-3</v>
      </c>
      <c r="M26" s="127">
        <v>4.2785318496342314E-3</v>
      </c>
      <c r="N26" s="50">
        <v>396.59950292981983</v>
      </c>
      <c r="O26" s="52">
        <v>67971.48</v>
      </c>
      <c r="P26" s="50">
        <v>5664.29</v>
      </c>
    </row>
    <row r="27" spans="1:16" x14ac:dyDescent="0.2">
      <c r="A27" s="38" t="s">
        <v>283</v>
      </c>
      <c r="C27" s="48">
        <v>148714.50064000001</v>
      </c>
      <c r="D27" s="48">
        <v>12392.875053333335</v>
      </c>
      <c r="E27" s="127">
        <v>9.5845260245188673E-3</v>
      </c>
      <c r="F27" s="325" t="s">
        <v>105</v>
      </c>
      <c r="G27" s="325" t="s">
        <v>105</v>
      </c>
      <c r="I27" s="56">
        <v>8.5494503314291953E-2</v>
      </c>
      <c r="J27" s="56">
        <v>1.085494503314292</v>
      </c>
      <c r="K27" s="50">
        <v>161428.77300784978</v>
      </c>
      <c r="L27" s="56">
        <v>1.0125539827294486E-2</v>
      </c>
      <c r="M27" s="127">
        <v>1.0125539827294487E-2</v>
      </c>
      <c r="N27" s="50">
        <v>938.58926461991723</v>
      </c>
      <c r="O27" s="52">
        <v>149653.09</v>
      </c>
      <c r="P27" s="50">
        <v>12471.090833333334</v>
      </c>
    </row>
    <row r="28" spans="1:16" x14ac:dyDescent="0.2">
      <c r="A28" s="38" t="s">
        <v>284</v>
      </c>
      <c r="C28" s="48">
        <v>86393.233360000013</v>
      </c>
      <c r="D28" s="48">
        <v>7199.4361133333341</v>
      </c>
      <c r="E28" s="127">
        <v>5.5679721205245582E-3</v>
      </c>
      <c r="F28" s="325" t="s">
        <v>105</v>
      </c>
      <c r="G28" s="325" t="s">
        <v>105</v>
      </c>
      <c r="I28" s="56">
        <v>-5.4412073993360656E-2</v>
      </c>
      <c r="J28" s="56">
        <v>0.94558792600663932</v>
      </c>
      <c r="K28" s="50">
        <v>81692.398353890021</v>
      </c>
      <c r="L28" s="56">
        <v>5.1241152225030961E-3</v>
      </c>
      <c r="M28" s="127">
        <v>5.1241152225030969E-3</v>
      </c>
      <c r="N28" s="50">
        <v>474.98104995375564</v>
      </c>
      <c r="O28" s="52">
        <v>86868.21</v>
      </c>
      <c r="P28" s="50">
        <v>7239.0175000000008</v>
      </c>
    </row>
    <row r="29" spans="1:16" x14ac:dyDescent="0.2">
      <c r="A29" s="38" t="s">
        <v>285</v>
      </c>
      <c r="C29" s="48">
        <v>54653.190160000006</v>
      </c>
      <c r="D29" s="48">
        <v>4554.4325133333341</v>
      </c>
      <c r="E29" s="127">
        <v>3.5223527037188218E-3</v>
      </c>
      <c r="F29" s="325" t="s">
        <v>105</v>
      </c>
      <c r="G29" s="325" t="s">
        <v>105</v>
      </c>
      <c r="I29" s="56">
        <v>-2.6515095371847697E-2</v>
      </c>
      <c r="J29" s="56">
        <v>0.97348490462815229</v>
      </c>
      <c r="K29" s="50">
        <v>53204.055610531876</v>
      </c>
      <c r="L29" s="56">
        <v>3.3371980348994843E-3</v>
      </c>
      <c r="M29" s="127">
        <v>3.3371980348994848E-3</v>
      </c>
      <c r="N29" s="50">
        <v>309.34234647164192</v>
      </c>
      <c r="O29" s="52">
        <v>54962.53</v>
      </c>
      <c r="P29" s="50">
        <v>4580.2108333333335</v>
      </c>
    </row>
    <row r="30" spans="1:16" ht="15" x14ac:dyDescent="0.35">
      <c r="A30" s="38" t="s">
        <v>286</v>
      </c>
      <c r="C30" s="58">
        <v>279074.38216000004</v>
      </c>
      <c r="D30" s="48">
        <v>23256.198513333336</v>
      </c>
      <c r="E30" s="125">
        <v>1.7986112094502769E-2</v>
      </c>
      <c r="F30" s="326" t="s">
        <v>105</v>
      </c>
      <c r="G30" s="326" t="s">
        <v>105</v>
      </c>
      <c r="I30" s="56">
        <v>3.7284847546328165E-3</v>
      </c>
      <c r="J30" s="56">
        <v>1.0037284847546328</v>
      </c>
      <c r="K30" s="59">
        <v>280114.9067392922</v>
      </c>
      <c r="L30" s="82">
        <v>1.7570068777451854E-2</v>
      </c>
      <c r="M30" s="125">
        <v>1.7570068777451858E-2</v>
      </c>
      <c r="N30" s="59">
        <v>1628.6616036703963</v>
      </c>
      <c r="O30" s="60">
        <v>280703.03999999998</v>
      </c>
      <c r="P30" s="59">
        <v>23391.919999999998</v>
      </c>
    </row>
    <row r="31" spans="1:16" x14ac:dyDescent="0.2">
      <c r="C31" s="48"/>
      <c r="D31" s="48"/>
    </row>
    <row r="32" spans="1:16" ht="13.5" thickBot="1" x14ac:dyDescent="0.25">
      <c r="A32" s="64" t="s">
        <v>287</v>
      </c>
      <c r="C32" s="65">
        <v>15537471.396845324</v>
      </c>
      <c r="D32" s="65">
        <v>1294789.2830704437</v>
      </c>
      <c r="E32" s="67">
        <v>0.99999999999999978</v>
      </c>
      <c r="F32" s="65">
        <v>0</v>
      </c>
      <c r="G32" s="68">
        <v>92695.2321188692</v>
      </c>
      <c r="K32" s="65">
        <v>15942732.512167014</v>
      </c>
      <c r="L32" s="67">
        <v>0.99999999999999989</v>
      </c>
      <c r="M32" s="67">
        <v>1</v>
      </c>
      <c r="N32" s="65">
        <v>92695.232118869215</v>
      </c>
      <c r="O32" s="70">
        <v>15630166.628964195</v>
      </c>
      <c r="P32" s="65">
        <v>1302513.8857470162</v>
      </c>
    </row>
    <row r="33" spans="1:4" ht="13.5" thickTop="1" x14ac:dyDescent="0.2">
      <c r="A33" s="71"/>
    </row>
    <row r="34" spans="1:4" ht="25.5" x14ac:dyDescent="0.2">
      <c r="A34" s="129" t="s">
        <v>536</v>
      </c>
      <c r="D34" s="50"/>
    </row>
    <row r="37" spans="1:4" x14ac:dyDescent="0.2">
      <c r="C37" s="130"/>
    </row>
  </sheetData>
  <phoneticPr fontId="0" type="noConversion"/>
  <printOptions horizontalCentered="1" verticalCentered="1"/>
  <pageMargins left="0.75" right="0.75" top="1" bottom="1" header="0.5" footer="0.5"/>
  <pageSetup scale="83" firstPageNumber="30"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9"/>
  <sheetViews>
    <sheetView zoomScaleNormal="100" workbookViewId="0">
      <pane xSplit="1" ySplit="5" topLeftCell="B6" activePane="bottomRight" state="frozen"/>
      <selection sqref="A1:XFD1048576"/>
      <selection pane="topRight" sqref="A1:XFD1048576"/>
      <selection pane="bottomLeft" sqref="A1:XFD1048576"/>
      <selection pane="bottomRight" activeCell="B7" sqref="B7"/>
    </sheetView>
  </sheetViews>
  <sheetFormatPr defaultColWidth="13" defaultRowHeight="12.75" x14ac:dyDescent="0.2"/>
  <cols>
    <col min="1" max="1" width="41.85546875" style="38" bestFit="1" customWidth="1"/>
    <col min="2" max="2" width="15.28515625" style="38" customWidth="1"/>
    <col min="3" max="3" width="15.85546875" style="38" customWidth="1"/>
    <col min="4" max="4" width="13" style="38" hidden="1" customWidth="1"/>
    <col min="5" max="5" width="14.42578125" style="38" customWidth="1"/>
    <col min="6" max="6" width="13.85546875" style="38" bestFit="1" customWidth="1"/>
    <col min="7" max="7" width="15" style="38" bestFit="1" customWidth="1"/>
    <col min="8" max="8" width="13.28515625" style="38" bestFit="1" customWidth="1"/>
    <col min="9" max="9" width="13" style="38" customWidth="1"/>
    <col min="10" max="10" width="9.28515625" style="38" bestFit="1" customWidth="1"/>
    <col min="11" max="11" width="13" style="38" customWidth="1"/>
    <col min="12" max="12" width="13" style="38" hidden="1" customWidth="1"/>
    <col min="13" max="13" width="14" style="38" customWidth="1"/>
    <col min="14" max="14" width="15" style="38" customWidth="1"/>
    <col min="15" max="15" width="13.85546875" style="39" customWidth="1"/>
    <col min="16" max="16" width="13.85546875"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A5" s="39" t="s">
        <v>288</v>
      </c>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s="39" customFormat="1" x14ac:dyDescent="0.2">
      <c r="B6" s="44"/>
      <c r="C6" s="44"/>
      <c r="D6" s="44"/>
      <c r="E6" s="44"/>
      <c r="F6" s="44"/>
      <c r="G6" s="44"/>
      <c r="H6" s="44"/>
      <c r="I6" s="44"/>
      <c r="J6" s="44"/>
      <c r="K6" s="44"/>
      <c r="M6" s="44"/>
      <c r="N6" s="45"/>
      <c r="O6" s="44"/>
    </row>
    <row r="7" spans="1:16" x14ac:dyDescent="0.2">
      <c r="A7" s="49" t="s">
        <v>50</v>
      </c>
      <c r="B7" s="75">
        <v>2132500.0639099097</v>
      </c>
      <c r="H7" s="26"/>
      <c r="I7" s="21"/>
    </row>
    <row r="8" spans="1:16" x14ac:dyDescent="0.2">
      <c r="D8" s="50"/>
      <c r="H8" s="26"/>
      <c r="I8" s="21"/>
    </row>
    <row r="9" spans="1:16" x14ac:dyDescent="0.2">
      <c r="A9" s="39" t="s">
        <v>55</v>
      </c>
      <c r="G9" s="48"/>
    </row>
    <row r="10" spans="1:16" hidden="1" x14ac:dyDescent="0.2">
      <c r="A10" s="38" t="s">
        <v>339</v>
      </c>
      <c r="L10" s="54">
        <v>0.93971126645869973</v>
      </c>
      <c r="M10" s="54"/>
    </row>
    <row r="11" spans="1:16" hidden="1" x14ac:dyDescent="0.2">
      <c r="A11" s="38" t="s">
        <v>329</v>
      </c>
      <c r="L11" s="55">
        <v>0</v>
      </c>
      <c r="M11" s="55"/>
    </row>
    <row r="12" spans="1:16" x14ac:dyDescent="0.2">
      <c r="A12" s="38" t="s">
        <v>289</v>
      </c>
      <c r="C12" s="48">
        <v>2029148.3494606533</v>
      </c>
      <c r="D12" s="48">
        <v>169095.69578838776</v>
      </c>
      <c r="E12" s="127">
        <v>0.93942909782844763</v>
      </c>
      <c r="F12" s="48">
        <v>2003332.6111579933</v>
      </c>
      <c r="G12" s="48">
        <v>-25815.738302659942</v>
      </c>
      <c r="H12" s="56">
        <v>5.4702070619476713E-3</v>
      </c>
      <c r="I12" s="56">
        <v>9.7981960118885908E-2</v>
      </c>
      <c r="J12" s="56">
        <v>1.1034521671808335</v>
      </c>
      <c r="K12" s="50">
        <v>2239068.1437437693</v>
      </c>
      <c r="L12" s="127">
        <v>0.93971126645869973</v>
      </c>
      <c r="M12" s="127">
        <v>0.93971126645869973</v>
      </c>
      <c r="N12" s="50" t="s">
        <v>105</v>
      </c>
      <c r="O12" s="52">
        <v>2003332.6139099097</v>
      </c>
      <c r="P12" s="50">
        <v>166944.38449249248</v>
      </c>
    </row>
    <row r="13" spans="1:16" x14ac:dyDescent="0.2">
      <c r="C13" s="48"/>
      <c r="D13" s="48"/>
      <c r="E13" s="127"/>
      <c r="F13" s="56"/>
      <c r="H13" s="56"/>
      <c r="I13" s="56"/>
      <c r="J13" s="56"/>
      <c r="K13" s="50"/>
      <c r="L13" s="56"/>
      <c r="M13" s="56"/>
      <c r="N13" s="50"/>
      <c r="O13" s="52"/>
      <c r="P13" s="50"/>
    </row>
    <row r="14" spans="1:16" ht="15" x14ac:dyDescent="0.35">
      <c r="A14" s="39" t="s">
        <v>60</v>
      </c>
      <c r="C14" s="48"/>
      <c r="D14" s="58">
        <v>0</v>
      </c>
      <c r="E14" s="127"/>
      <c r="F14" s="56"/>
      <c r="H14" s="56"/>
      <c r="I14" s="56"/>
      <c r="J14" s="56"/>
      <c r="K14" s="50"/>
      <c r="L14" s="56"/>
      <c r="M14" s="56"/>
      <c r="N14" s="50"/>
      <c r="O14" s="52"/>
      <c r="P14" s="50"/>
    </row>
    <row r="15" spans="1:16" ht="15" x14ac:dyDescent="0.35">
      <c r="A15" s="38" t="s">
        <v>290</v>
      </c>
      <c r="C15" s="58">
        <v>130831.95576</v>
      </c>
      <c r="D15" s="58"/>
      <c r="E15" s="125">
        <v>6.0570902171552359E-2</v>
      </c>
      <c r="F15" s="58">
        <v>129167.45275191629</v>
      </c>
      <c r="G15" s="58">
        <v>-1664.5030080837023</v>
      </c>
      <c r="H15" s="56"/>
      <c r="I15" s="56">
        <v>9.7981960118885908E-2</v>
      </c>
      <c r="J15" s="56">
        <v>1.0979819601188858</v>
      </c>
      <c r="K15" s="83">
        <v>143651.12723155215</v>
      </c>
      <c r="L15" s="125">
        <v>6.0288733541300168E-2</v>
      </c>
      <c r="M15" s="125">
        <v>6.0288733541300175E-2</v>
      </c>
      <c r="N15" s="59" t="s">
        <v>105</v>
      </c>
      <c r="O15" s="60">
        <v>129167.45</v>
      </c>
      <c r="P15" s="59">
        <v>10763.954166666666</v>
      </c>
    </row>
    <row r="17" spans="1:16" ht="13.5" thickBot="1" x14ac:dyDescent="0.25">
      <c r="A17" s="64" t="s">
        <v>291</v>
      </c>
      <c r="C17" s="68">
        <v>2159980.3052206533</v>
      </c>
      <c r="D17" s="77"/>
      <c r="E17" s="78">
        <v>1</v>
      </c>
      <c r="F17" s="68">
        <v>2132500.0639099097</v>
      </c>
      <c r="G17" s="68">
        <v>-27480.241310743615</v>
      </c>
      <c r="K17" s="68">
        <v>2382719.2709753215</v>
      </c>
      <c r="L17" s="78">
        <v>0.99999999999999989</v>
      </c>
      <c r="M17" s="78">
        <v>0.99999999999999989</v>
      </c>
      <c r="N17" s="68">
        <v>0</v>
      </c>
      <c r="O17" s="100">
        <v>2132500.0639099097</v>
      </c>
      <c r="P17" s="68">
        <v>177708.33865915914</v>
      </c>
    </row>
    <row r="18" spans="1:16" ht="13.5" thickTop="1" x14ac:dyDescent="0.2">
      <c r="A18" s="71"/>
    </row>
    <row r="19" spans="1:16" ht="25.5" x14ac:dyDescent="0.2">
      <c r="A19" s="129" t="s">
        <v>536</v>
      </c>
    </row>
  </sheetData>
  <phoneticPr fontId="0" type="noConversion"/>
  <printOptions horizontalCentered="1" verticalCentered="1"/>
  <pageMargins left="0.75" right="0.75" top="1" bottom="1" header="0.5" footer="0.5"/>
  <pageSetup scale="83" firstPageNumber="32"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5"/>
  <sheetViews>
    <sheetView workbookViewId="0">
      <selection activeCell="H24" sqref="H24"/>
    </sheetView>
  </sheetViews>
  <sheetFormatPr defaultRowHeight="12.75" x14ac:dyDescent="0.2"/>
  <cols>
    <col min="1" max="1" width="12.85546875" style="103" customWidth="1"/>
    <col min="2" max="7" width="13.7109375" style="103" customWidth="1"/>
    <col min="8" max="8" width="15.7109375" style="111" customWidth="1"/>
    <col min="9" max="11" width="9.140625" style="103"/>
    <col min="12" max="12" width="13.85546875" style="103" bestFit="1" customWidth="1"/>
    <col min="13" max="16384" width="9.140625" style="103"/>
  </cols>
  <sheetData>
    <row r="1" spans="1:12" x14ac:dyDescent="0.2">
      <c r="D1" s="111"/>
    </row>
    <row r="2" spans="1:12" x14ac:dyDescent="0.2">
      <c r="D2" s="111"/>
    </row>
    <row r="3" spans="1:12" x14ac:dyDescent="0.2">
      <c r="H3" s="108" t="s">
        <v>322</v>
      </c>
    </row>
    <row r="4" spans="1:12" x14ac:dyDescent="0.2">
      <c r="A4" s="105" t="s">
        <v>362</v>
      </c>
      <c r="B4" s="105" t="s">
        <v>0</v>
      </c>
      <c r="C4" s="105" t="s">
        <v>1</v>
      </c>
      <c r="D4" s="105" t="s">
        <v>2</v>
      </c>
      <c r="E4" s="105" t="s">
        <v>3</v>
      </c>
      <c r="F4" s="105" t="s">
        <v>4</v>
      </c>
      <c r="G4" s="105" t="s">
        <v>489</v>
      </c>
      <c r="H4" s="112" t="s">
        <v>5</v>
      </c>
    </row>
    <row r="6" spans="1:12" ht="19.5" customHeight="1" x14ac:dyDescent="0.2">
      <c r="A6" s="103" t="s">
        <v>6</v>
      </c>
      <c r="B6" s="106">
        <v>4533859.7719999999</v>
      </c>
      <c r="C6" s="106">
        <v>15625327.497156072</v>
      </c>
      <c r="D6" s="106">
        <v>197085.47823329529</v>
      </c>
      <c r="E6" s="106">
        <v>70948.29648452565</v>
      </c>
      <c r="F6" s="106">
        <v>270164.39950499998</v>
      </c>
      <c r="G6" s="106">
        <v>2106456.6071679993</v>
      </c>
      <c r="H6" s="113">
        <v>22803842.050546896</v>
      </c>
    </row>
    <row r="7" spans="1:12" ht="19.5" customHeight="1" x14ac:dyDescent="0.2">
      <c r="A7" s="103" t="s">
        <v>7</v>
      </c>
      <c r="B7" s="106">
        <v>1427577.9415800001</v>
      </c>
      <c r="C7" s="106">
        <v>4622276.4266592953</v>
      </c>
      <c r="D7" s="106">
        <v>91673.322070919647</v>
      </c>
      <c r="E7" s="106">
        <v>33001.244395642287</v>
      </c>
      <c r="F7" s="106">
        <v>93136.407650000008</v>
      </c>
      <c r="G7" s="106">
        <v>1194866.87995</v>
      </c>
      <c r="H7" s="113">
        <v>7462532.2223058585</v>
      </c>
    </row>
    <row r="8" spans="1:12" ht="19.5" customHeight="1" x14ac:dyDescent="0.2">
      <c r="A8" s="103" t="s">
        <v>8</v>
      </c>
      <c r="B8" s="106">
        <v>187505047.56983998</v>
      </c>
      <c r="C8" s="106">
        <v>655978148.64952195</v>
      </c>
      <c r="D8" s="106">
        <v>7557299.6887646895</v>
      </c>
      <c r="E8" s="106">
        <v>2720532.9573100414</v>
      </c>
      <c r="F8" s="106">
        <v>20927305.212736003</v>
      </c>
      <c r="G8" s="106">
        <v>94444106.247730047</v>
      </c>
      <c r="H8" s="113">
        <v>969132440.3259027</v>
      </c>
    </row>
    <row r="9" spans="1:12" ht="19.5" customHeight="1" x14ac:dyDescent="0.2">
      <c r="A9" s="103" t="s">
        <v>9</v>
      </c>
      <c r="B9" s="106">
        <v>3343691.3335680002</v>
      </c>
      <c r="C9" s="106">
        <v>14199723.560132001</v>
      </c>
      <c r="D9" s="106">
        <v>177308.04774748097</v>
      </c>
      <c r="E9" s="106">
        <v>63828.66994284471</v>
      </c>
      <c r="F9" s="106">
        <v>706750.46160100005</v>
      </c>
      <c r="G9" s="106">
        <v>2364379.9761029826</v>
      </c>
      <c r="H9" s="113">
        <v>20855682.049094308</v>
      </c>
      <c r="L9" s="106"/>
    </row>
    <row r="10" spans="1:12" ht="19.5" customHeight="1" x14ac:dyDescent="0.2">
      <c r="A10" s="103" t="s">
        <v>10</v>
      </c>
      <c r="B10" s="106">
        <v>6429347.3327759998</v>
      </c>
      <c r="C10" s="106">
        <v>23538377.242605615</v>
      </c>
      <c r="D10" s="106">
        <v>194853.32198523942</v>
      </c>
      <c r="E10" s="106">
        <v>70144.748274345548</v>
      </c>
      <c r="F10" s="106">
        <v>277248.30629999994</v>
      </c>
      <c r="G10" s="106">
        <v>4006623.680332331</v>
      </c>
      <c r="H10" s="113">
        <v>34516594.632273532</v>
      </c>
    </row>
    <row r="11" spans="1:12" ht="19.5" customHeight="1" x14ac:dyDescent="0.2">
      <c r="A11" s="103" t="s">
        <v>11</v>
      </c>
      <c r="B11" s="106">
        <v>107613.16230000001</v>
      </c>
      <c r="C11" s="106">
        <v>1062767.6473267199</v>
      </c>
      <c r="D11" s="106">
        <v>3381.9688844458983</v>
      </c>
      <c r="E11" s="106">
        <v>1217.4663159661052</v>
      </c>
      <c r="F11" s="106">
        <v>3050.3550000000005</v>
      </c>
      <c r="G11" s="106">
        <v>168717.57936712232</v>
      </c>
      <c r="H11" s="113">
        <v>1346748.1791942543</v>
      </c>
    </row>
    <row r="12" spans="1:12" ht="19.5" customHeight="1" x14ac:dyDescent="0.2">
      <c r="A12" s="103" t="s">
        <v>12</v>
      </c>
      <c r="B12" s="106">
        <v>951903.39199999999</v>
      </c>
      <c r="C12" s="106">
        <v>3743425.9753711321</v>
      </c>
      <c r="D12" s="106">
        <v>6950.3133113468593</v>
      </c>
      <c r="E12" s="106">
        <v>2502.0254860688997</v>
      </c>
      <c r="F12" s="106">
        <v>5454.8400000000011</v>
      </c>
      <c r="G12" s="106">
        <v>314879.22591799998</v>
      </c>
      <c r="H12" s="113">
        <v>5025115.7720865477</v>
      </c>
    </row>
    <row r="13" spans="1:12" ht="19.5" customHeight="1" x14ac:dyDescent="0.2">
      <c r="A13" s="103" t="s">
        <v>13</v>
      </c>
      <c r="B13" s="106">
        <v>3451274.9995999993</v>
      </c>
      <c r="C13" s="106">
        <v>13097246.688762398</v>
      </c>
      <c r="D13" s="106">
        <v>63498.115198437197</v>
      </c>
      <c r="E13" s="106">
        <v>22858.523843012423</v>
      </c>
      <c r="F13" s="106">
        <v>144813.307</v>
      </c>
      <c r="G13" s="106">
        <v>1475775.6556919999</v>
      </c>
      <c r="H13" s="113">
        <v>18255467.290095847</v>
      </c>
    </row>
    <row r="14" spans="1:12" ht="19.5" customHeight="1" x14ac:dyDescent="0.2">
      <c r="A14" s="103" t="s">
        <v>14</v>
      </c>
      <c r="B14" s="106">
        <v>1109560.88185</v>
      </c>
      <c r="C14" s="106">
        <v>2711368.6964428802</v>
      </c>
      <c r="D14" s="106">
        <v>23956.461371780217</v>
      </c>
      <c r="E14" s="106">
        <v>8624.0251659394416</v>
      </c>
      <c r="F14" s="106">
        <v>29878.678829999993</v>
      </c>
      <c r="G14" s="106">
        <v>647672.55440532672</v>
      </c>
      <c r="H14" s="113">
        <v>4531061.2980659269</v>
      </c>
    </row>
    <row r="15" spans="1:12" ht="19.5" customHeight="1" x14ac:dyDescent="0.2">
      <c r="A15" s="103" t="s">
        <v>15</v>
      </c>
      <c r="B15" s="106">
        <v>178178.60339999999</v>
      </c>
      <c r="C15" s="106">
        <v>1086914.5333670399</v>
      </c>
      <c r="D15" s="106">
        <v>18273.583378147658</v>
      </c>
      <c r="E15" s="106">
        <v>6578.2604734218048</v>
      </c>
      <c r="F15" s="106">
        <v>12352.470185000002</v>
      </c>
      <c r="G15" s="106">
        <v>390898.18834500003</v>
      </c>
      <c r="H15" s="113">
        <v>1693195.6391486092</v>
      </c>
    </row>
    <row r="16" spans="1:12" ht="19.5" customHeight="1" x14ac:dyDescent="0.2">
      <c r="A16" s="103" t="s">
        <v>16</v>
      </c>
      <c r="B16" s="106">
        <v>2039287.6463819996</v>
      </c>
      <c r="C16" s="106">
        <v>10486411.75150352</v>
      </c>
      <c r="D16" s="106">
        <v>194803.49358746232</v>
      </c>
      <c r="E16" s="106">
        <v>70126.810677062735</v>
      </c>
      <c r="F16" s="106">
        <v>394505.79918750003</v>
      </c>
      <c r="G16" s="106">
        <v>2445031.1276266491</v>
      </c>
      <c r="H16" s="113">
        <v>15630166.628964193</v>
      </c>
    </row>
    <row r="17" spans="1:8" ht="19.5" customHeight="1" x14ac:dyDescent="0.2">
      <c r="A17" s="103" t="s">
        <v>17</v>
      </c>
      <c r="B17" s="106">
        <v>252882.150872</v>
      </c>
      <c r="C17" s="106">
        <v>1479416.4510623999</v>
      </c>
      <c r="D17" s="106">
        <v>16740.513824014528</v>
      </c>
      <c r="E17" s="106">
        <v>6026.3746915110514</v>
      </c>
      <c r="F17" s="106">
        <v>8429.77916</v>
      </c>
      <c r="G17" s="106">
        <v>369004.79429998441</v>
      </c>
      <c r="H17" s="113">
        <v>2132500.0639099097</v>
      </c>
    </row>
    <row r="18" spans="1:8" ht="19.5" customHeight="1" x14ac:dyDescent="0.2">
      <c r="A18" s="103" t="s">
        <v>18</v>
      </c>
      <c r="B18" s="106">
        <v>2499817.3871999998</v>
      </c>
      <c r="C18" s="106">
        <v>8543390.5691165421</v>
      </c>
      <c r="D18" s="106">
        <v>165996.26009318899</v>
      </c>
      <c r="E18" s="106">
        <v>59756.568479759226</v>
      </c>
      <c r="F18" s="106">
        <v>180216.54321</v>
      </c>
      <c r="G18" s="106">
        <v>2172111.4562582485</v>
      </c>
      <c r="H18" s="113">
        <v>13621288.78435774</v>
      </c>
    </row>
    <row r="19" spans="1:8" ht="19.5" customHeight="1" x14ac:dyDescent="0.2">
      <c r="A19" s="103" t="s">
        <v>19</v>
      </c>
      <c r="B19" s="106">
        <v>378923.37178499991</v>
      </c>
      <c r="C19" s="106">
        <v>1812183.99941444</v>
      </c>
      <c r="D19" s="106">
        <v>24519.339509076868</v>
      </c>
      <c r="E19" s="106">
        <v>8826.6542248004316</v>
      </c>
      <c r="F19" s="106">
        <v>17608.668000000001</v>
      </c>
      <c r="G19" s="106">
        <v>572904.11656360247</v>
      </c>
      <c r="H19" s="113">
        <v>2814966.1494969195</v>
      </c>
    </row>
    <row r="20" spans="1:8" ht="19.5" customHeight="1" x14ac:dyDescent="0.2">
      <c r="A20" s="310" t="s">
        <v>20</v>
      </c>
      <c r="B20" s="106">
        <v>484136.945313</v>
      </c>
      <c r="C20" s="106">
        <v>1841411.6426959517</v>
      </c>
      <c r="D20" s="106">
        <v>14512.958714977951</v>
      </c>
      <c r="E20" s="106">
        <v>5224.4828335809134</v>
      </c>
      <c r="F20" s="106">
        <v>82628.425004999997</v>
      </c>
      <c r="G20" s="106">
        <v>300826.42315499991</v>
      </c>
      <c r="H20" s="113">
        <v>2728740.8777175108</v>
      </c>
    </row>
    <row r="21" spans="1:8" ht="19.5" customHeight="1" x14ac:dyDescent="0.2">
      <c r="A21" s="103" t="s">
        <v>21</v>
      </c>
      <c r="B21" s="106">
        <v>32289942.124440003</v>
      </c>
      <c r="C21" s="106">
        <v>111967523.9663424</v>
      </c>
      <c r="D21" s="106">
        <v>1595111.1361271886</v>
      </c>
      <c r="E21" s="106">
        <v>574219.97209635866</v>
      </c>
      <c r="F21" s="106">
        <v>4719116.9131799992</v>
      </c>
      <c r="G21" s="106">
        <v>22926690.567271996</v>
      </c>
      <c r="H21" s="113">
        <v>174072604.67945793</v>
      </c>
    </row>
    <row r="22" spans="1:8" ht="19.5" customHeight="1" x14ac:dyDescent="0.35">
      <c r="A22" s="103" t="s">
        <v>22</v>
      </c>
      <c r="B22" s="114">
        <v>1154199.034008</v>
      </c>
      <c r="C22" s="114">
        <v>2696441.5105437599</v>
      </c>
      <c r="D22" s="114">
        <v>37313.797210367658</v>
      </c>
      <c r="E22" s="114">
        <v>13432.498280319223</v>
      </c>
      <c r="F22" s="114">
        <v>32440.056</v>
      </c>
      <c r="G22" s="114">
        <v>811421.07013999962</v>
      </c>
      <c r="H22" s="115">
        <v>4745247.966182447</v>
      </c>
    </row>
    <row r="23" spans="1:8" ht="15" x14ac:dyDescent="0.35">
      <c r="B23" s="106"/>
      <c r="C23" s="106"/>
      <c r="D23" s="106"/>
      <c r="E23" s="114"/>
      <c r="F23" s="106"/>
      <c r="G23" s="106"/>
    </row>
    <row r="24" spans="1:8" ht="13.5" thickBot="1" x14ac:dyDescent="0.25">
      <c r="A24" s="103" t="s">
        <v>5</v>
      </c>
      <c r="B24" s="116">
        <v>248137243.64891398</v>
      </c>
      <c r="C24" s="116">
        <v>874492356.80802405</v>
      </c>
      <c r="D24" s="116">
        <v>10383277.800012061</v>
      </c>
      <c r="E24" s="116">
        <v>3737849.5789751997</v>
      </c>
      <c r="F24" s="116">
        <v>27905100.622549504</v>
      </c>
      <c r="G24" s="116">
        <v>136712366.15032628</v>
      </c>
      <c r="H24" s="116">
        <v>1301368194.6088014</v>
      </c>
    </row>
    <row r="25" spans="1:8" ht="13.5" thickTop="1" x14ac:dyDescent="0.2">
      <c r="B25" s="106"/>
      <c r="C25" s="106"/>
      <c r="D25" s="106"/>
      <c r="E25" s="106"/>
      <c r="F25" s="106"/>
      <c r="G25" s="106"/>
    </row>
  </sheetData>
  <phoneticPr fontId="0" type="noConversion"/>
  <printOptions horizontalCentered="1" verticalCentered="1"/>
  <pageMargins left="0.75" right="0.75" top="1" bottom="1" header="0.5" footer="0.5"/>
  <pageSetup orientation="landscape" useFirstPageNumber="1" r:id="rId1"/>
  <headerFooter alignWithMargins="0">
    <oddHeader>&amp;CCONSOLIDATED TAX DISTRIBUTION
REVENUE SUMMARY BY COUNTY</oddHeader>
    <oddFooter>&amp;LADMINISTRATIVE SERVICES DIVISION, 3/15/15
&amp;RD-&amp;P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34"/>
  <sheetViews>
    <sheetView zoomScaleNormal="100" workbookViewId="0">
      <pane xSplit="1" ySplit="5" topLeftCell="B6" activePane="bottomRight" state="frozen"/>
      <selection sqref="A1:XFD1048576"/>
      <selection pane="topRight" sqref="A1:XFD1048576"/>
      <selection pane="bottomLeft" sqref="A1:XFD1048576"/>
      <selection pane="bottomRight" activeCell="B7" sqref="B7"/>
    </sheetView>
  </sheetViews>
  <sheetFormatPr defaultColWidth="13" defaultRowHeight="12.75" x14ac:dyDescent="0.2"/>
  <cols>
    <col min="1" max="1" width="39.5703125" style="38" customWidth="1"/>
    <col min="2" max="3" width="15.28515625" style="38" customWidth="1"/>
    <col min="4" max="4" width="15.28515625" style="38" hidden="1" customWidth="1"/>
    <col min="5" max="7" width="15.28515625" style="38" customWidth="1"/>
    <col min="8" max="9" width="13" style="38" customWidth="1"/>
    <col min="10" max="10" width="9.28515625" style="38" bestFit="1" customWidth="1"/>
    <col min="11" max="11" width="13" style="38" customWidth="1"/>
    <col min="12" max="12" width="13" style="38" hidden="1" customWidth="1"/>
    <col min="13" max="13" width="13" style="38" customWidth="1"/>
    <col min="14" max="14" width="15.28515625" style="38" customWidth="1"/>
    <col min="15" max="15" width="15.28515625" style="39" customWidth="1"/>
    <col min="16" max="16" width="15.28515625" style="38"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L2" s="41"/>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1"/>
      <c r="M3" s="41" t="s">
        <v>35</v>
      </c>
      <c r="N3" s="140"/>
      <c r="O3" s="41" t="s">
        <v>34</v>
      </c>
      <c r="P3" s="41" t="s">
        <v>554</v>
      </c>
    </row>
    <row r="4" spans="1:16" x14ac:dyDescent="0.2">
      <c r="A4" s="39" t="s">
        <v>325</v>
      </c>
      <c r="B4" s="41" t="s">
        <v>41</v>
      </c>
      <c r="C4" s="41" t="s">
        <v>46</v>
      </c>
      <c r="D4" s="41" t="s">
        <v>323</v>
      </c>
      <c r="E4" s="41" t="s">
        <v>46</v>
      </c>
      <c r="F4" s="41" t="s">
        <v>554</v>
      </c>
      <c r="G4" s="41" t="s">
        <v>47</v>
      </c>
      <c r="H4" s="41" t="s">
        <v>44</v>
      </c>
      <c r="I4" s="41" t="s">
        <v>44</v>
      </c>
      <c r="J4" s="311" t="s">
        <v>44</v>
      </c>
      <c r="K4" s="41" t="s">
        <v>44</v>
      </c>
      <c r="L4" s="41"/>
      <c r="M4" s="41" t="s">
        <v>37</v>
      </c>
      <c r="N4" s="43" t="s">
        <v>43</v>
      </c>
      <c r="O4" s="41" t="s">
        <v>554</v>
      </c>
      <c r="P4" s="41" t="s">
        <v>323</v>
      </c>
    </row>
    <row r="5" spans="1:16" x14ac:dyDescent="0.2">
      <c r="B5" s="44" t="s">
        <v>45</v>
      </c>
      <c r="C5" s="44" t="s">
        <v>47</v>
      </c>
      <c r="D5" s="44" t="s">
        <v>324</v>
      </c>
      <c r="E5" s="44" t="s">
        <v>324</v>
      </c>
      <c r="F5" s="44" t="s">
        <v>47</v>
      </c>
      <c r="G5" s="44" t="s">
        <v>374</v>
      </c>
      <c r="H5" s="44" t="s">
        <v>48</v>
      </c>
      <c r="I5" s="44" t="s">
        <v>48</v>
      </c>
      <c r="J5" s="312" t="s">
        <v>48</v>
      </c>
      <c r="K5" s="44" t="s">
        <v>49</v>
      </c>
      <c r="L5" s="44" t="s">
        <v>345</v>
      </c>
      <c r="M5" s="44" t="s">
        <v>42</v>
      </c>
      <c r="N5" s="45" t="s">
        <v>47</v>
      </c>
      <c r="O5" s="44" t="s">
        <v>47</v>
      </c>
      <c r="P5" s="44" t="s">
        <v>47</v>
      </c>
    </row>
    <row r="6" spans="1:16" x14ac:dyDescent="0.2">
      <c r="D6" s="46"/>
      <c r="H6" s="47"/>
      <c r="I6" s="47"/>
      <c r="N6" s="48"/>
    </row>
    <row r="7" spans="1:16" x14ac:dyDescent="0.2">
      <c r="A7" s="49" t="s">
        <v>50</v>
      </c>
      <c r="B7" s="50">
        <v>13621288.78435774</v>
      </c>
      <c r="C7" s="46"/>
      <c r="H7" s="47"/>
      <c r="I7" s="47"/>
      <c r="N7" s="48"/>
    </row>
    <row r="8" spans="1:16" x14ac:dyDescent="0.2">
      <c r="D8" s="50"/>
    </row>
    <row r="9" spans="1:16" x14ac:dyDescent="0.2">
      <c r="A9" s="39" t="s">
        <v>55</v>
      </c>
    </row>
    <row r="10" spans="1:16" hidden="1" x14ac:dyDescent="0.2">
      <c r="A10" s="38" t="s">
        <v>340</v>
      </c>
    </row>
    <row r="11" spans="1:16" hidden="1" x14ac:dyDescent="0.2">
      <c r="A11" s="38" t="s">
        <v>329</v>
      </c>
      <c r="M11" s="55"/>
    </row>
    <row r="12" spans="1:16" x14ac:dyDescent="0.2">
      <c r="A12" s="38" t="s">
        <v>292</v>
      </c>
      <c r="C12" s="48">
        <v>11724865.073775051</v>
      </c>
      <c r="D12" s="48">
        <v>977072.08948125422</v>
      </c>
      <c r="E12" s="127">
        <v>0.84534709070191716</v>
      </c>
      <c r="F12" s="50">
        <v>11514716.845467469</v>
      </c>
      <c r="G12" s="50">
        <v>-210148.22830758244</v>
      </c>
      <c r="H12" s="56">
        <v>-3.6046985413225791E-3</v>
      </c>
      <c r="I12" s="56">
        <v>-2.1159137404158236E-2</v>
      </c>
      <c r="J12" s="127">
        <v>0.97523616405451918</v>
      </c>
      <c r="K12" s="50">
        <v>11434512.438605187</v>
      </c>
      <c r="L12" s="53">
        <v>0.84589818099314329</v>
      </c>
      <c r="M12" s="53">
        <v>0.84589818099314329</v>
      </c>
      <c r="N12" s="50" t="s">
        <v>105</v>
      </c>
      <c r="O12" s="52">
        <v>11514716.844357736</v>
      </c>
      <c r="P12" s="50">
        <v>959559.73702981137</v>
      </c>
    </row>
    <row r="13" spans="1:16" x14ac:dyDescent="0.2">
      <c r="C13" s="48"/>
      <c r="D13" s="48"/>
      <c r="E13" s="127"/>
      <c r="F13" s="50"/>
      <c r="G13" s="50"/>
      <c r="H13" s="56"/>
      <c r="J13" s="56"/>
      <c r="K13" s="50"/>
      <c r="L13" s="53"/>
      <c r="M13" s="53"/>
      <c r="N13" s="50"/>
      <c r="O13" s="52"/>
      <c r="P13" s="50"/>
    </row>
    <row r="14" spans="1:16" x14ac:dyDescent="0.2">
      <c r="A14" s="38" t="s">
        <v>197</v>
      </c>
      <c r="C14" s="48">
        <v>115945.60504000001</v>
      </c>
      <c r="D14" s="48">
        <v>9662.1337533333335</v>
      </c>
      <c r="E14" s="127">
        <v>8.3595230549360963E-3</v>
      </c>
      <c r="F14" s="50">
        <v>113867.477630781</v>
      </c>
      <c r="G14" s="50">
        <v>-2078.1274092190142</v>
      </c>
      <c r="H14" s="56">
        <v>6.0398036364686354E-3</v>
      </c>
      <c r="I14" s="56">
        <v>-7.0048056704802658E-2</v>
      </c>
      <c r="J14" s="127">
        <v>0.93599174693166598</v>
      </c>
      <c r="K14" s="50">
        <v>108524.12941043859</v>
      </c>
      <c r="L14" s="53">
        <v>8.0283583716449693E-3</v>
      </c>
      <c r="M14" s="53">
        <v>8.0283583716449693E-3</v>
      </c>
      <c r="N14" s="50" t="s">
        <v>105</v>
      </c>
      <c r="O14" s="52">
        <v>113867.48</v>
      </c>
      <c r="P14" s="50">
        <v>9488.9566666666669</v>
      </c>
    </row>
    <row r="15" spans="1:16" x14ac:dyDescent="0.2">
      <c r="A15" s="38" t="s">
        <v>198</v>
      </c>
      <c r="C15" s="48">
        <v>386456.18416</v>
      </c>
      <c r="D15" s="48">
        <v>32204.682013333335</v>
      </c>
      <c r="E15" s="127">
        <v>2.7862974022116929E-2</v>
      </c>
      <c r="F15" s="50">
        <v>379529.61554631236</v>
      </c>
      <c r="G15" s="50">
        <v>-6926.5686136876466</v>
      </c>
      <c r="H15" s="56">
        <v>2.1685043992901894E-2</v>
      </c>
      <c r="I15" s="56">
        <v>-9.8181273244489949E-3</v>
      </c>
      <c r="J15" s="127">
        <v>1.0118669166684529</v>
      </c>
      <c r="K15" s="50">
        <v>391042.22749343497</v>
      </c>
      <c r="L15" s="53">
        <v>2.8928378949627801E-2</v>
      </c>
      <c r="M15" s="53">
        <v>2.8928378949627801E-2</v>
      </c>
      <c r="N15" s="50" t="s">
        <v>105</v>
      </c>
      <c r="O15" s="52">
        <v>379529.62</v>
      </c>
      <c r="P15" s="50">
        <v>31627.468333333334</v>
      </c>
    </row>
    <row r="16" spans="1:16" x14ac:dyDescent="0.2">
      <c r="A16" s="38" t="s">
        <v>196</v>
      </c>
      <c r="C16" s="48">
        <v>93613.742159999994</v>
      </c>
      <c r="D16" s="48">
        <v>7801.1451799999995</v>
      </c>
      <c r="E16" s="127">
        <v>6.7494256084599854E-3</v>
      </c>
      <c r="F16" s="50">
        <v>91935.875341372914</v>
      </c>
      <c r="G16" s="50">
        <v>-1677.8668186270806</v>
      </c>
      <c r="H16" s="56">
        <v>-4.9944739960390547E-2</v>
      </c>
      <c r="I16" s="56">
        <v>1.5081216257823262E-2</v>
      </c>
      <c r="J16" s="127">
        <v>0.96513647629743271</v>
      </c>
      <c r="K16" s="50">
        <v>90350.037241318816</v>
      </c>
      <c r="L16" s="53">
        <v>6.6838820251803495E-3</v>
      </c>
      <c r="M16" s="53">
        <v>6.6838820251803495E-3</v>
      </c>
      <c r="N16" s="50" t="s">
        <v>105</v>
      </c>
      <c r="O16" s="52">
        <v>91935.88</v>
      </c>
      <c r="P16" s="50">
        <v>7661.3233333333337</v>
      </c>
    </row>
    <row r="17" spans="1:16" x14ac:dyDescent="0.2">
      <c r="A17" s="38" t="s">
        <v>199</v>
      </c>
      <c r="C17" s="48">
        <v>5135.3516799999998</v>
      </c>
      <c r="D17" s="48">
        <v>427.94597333333331</v>
      </c>
      <c r="E17" s="127">
        <v>3.7025198798483765E-4</v>
      </c>
      <c r="F17" s="50">
        <v>5043.3092513240254</v>
      </c>
      <c r="G17" s="50">
        <v>-92.042428675974406</v>
      </c>
      <c r="H17" s="56">
        <v>-2.280974902414812E-3</v>
      </c>
      <c r="I17" s="56">
        <v>1.9075153180754374E-2</v>
      </c>
      <c r="J17" s="127">
        <v>1.0167941782783396</v>
      </c>
      <c r="K17" s="50">
        <v>5221.5956916358909</v>
      </c>
      <c r="L17" s="53">
        <v>3.862812971827266E-4</v>
      </c>
      <c r="M17" s="53">
        <v>3.862812971827266E-4</v>
      </c>
      <c r="N17" s="50" t="s">
        <v>105</v>
      </c>
      <c r="O17" s="52">
        <v>5043.3100000000004</v>
      </c>
      <c r="P17" s="50">
        <v>420.27583333333337</v>
      </c>
    </row>
    <row r="18" spans="1:16" x14ac:dyDescent="0.2">
      <c r="A18" s="38" t="s">
        <v>200</v>
      </c>
      <c r="C18" s="48">
        <v>755222.37575999997</v>
      </c>
      <c r="D18" s="48">
        <v>62935.197979999997</v>
      </c>
      <c r="E18" s="127">
        <v>5.445052323968045E-2</v>
      </c>
      <c r="F18" s="50">
        <v>741686.30150706973</v>
      </c>
      <c r="G18" s="50">
        <v>-13536.074252930237</v>
      </c>
      <c r="H18" s="56">
        <v>-2.9990721058593362E-3</v>
      </c>
      <c r="I18" s="56">
        <v>-9.2347771618425792E-2</v>
      </c>
      <c r="J18" s="127">
        <v>0.90465315627571485</v>
      </c>
      <c r="K18" s="50">
        <v>683214.3059213279</v>
      </c>
      <c r="L18" s="53">
        <v>5.0542578156296238E-2</v>
      </c>
      <c r="M18" s="53">
        <v>5.0542578156296238E-2</v>
      </c>
      <c r="N18" s="50" t="s">
        <v>105</v>
      </c>
      <c r="O18" s="52">
        <v>741686.3</v>
      </c>
      <c r="P18" s="50">
        <v>61807.191666666673</v>
      </c>
    </row>
    <row r="19" spans="1:16" x14ac:dyDescent="0.2">
      <c r="A19" s="38" t="s">
        <v>293</v>
      </c>
      <c r="C19" s="48">
        <v>258414.11360000001</v>
      </c>
      <c r="D19" s="48">
        <v>21534.509466666666</v>
      </c>
      <c r="E19" s="127">
        <v>1.8631311981293495E-2</v>
      </c>
      <c r="F19" s="50">
        <v>253782.48092866308</v>
      </c>
      <c r="G19" s="50">
        <v>-4631.6326713369344</v>
      </c>
      <c r="H19" s="56">
        <v>2.9814300140149964E-3</v>
      </c>
      <c r="I19" s="56">
        <v>4.9308780612827521E-2</v>
      </c>
      <c r="J19" s="127">
        <v>1.0522902106268426</v>
      </c>
      <c r="K19" s="50">
        <v>271926.64202909282</v>
      </c>
      <c r="L19" s="53">
        <v>2.0116489714015473E-2</v>
      </c>
      <c r="M19" s="53">
        <v>2.0116489714015473E-2</v>
      </c>
      <c r="N19" s="50" t="s">
        <v>105</v>
      </c>
      <c r="O19" s="52">
        <v>253782.48</v>
      </c>
      <c r="P19" s="50">
        <v>21148.54</v>
      </c>
    </row>
    <row r="20" spans="1:16" x14ac:dyDescent="0.2">
      <c r="A20" s="38" t="s">
        <v>202</v>
      </c>
      <c r="C20" s="48">
        <v>323794.33336000005</v>
      </c>
      <c r="D20" s="48">
        <v>26982.861113333336</v>
      </c>
      <c r="E20" s="127">
        <v>2.3345138384907118E-2</v>
      </c>
      <c r="F20" s="50">
        <v>317990.87165161467</v>
      </c>
      <c r="G20" s="50">
        <v>-5803.4617083853809</v>
      </c>
      <c r="H20" s="56">
        <v>1.1468114277392832E-3</v>
      </c>
      <c r="I20" s="56">
        <v>4.7832139064648657E-2</v>
      </c>
      <c r="J20" s="127">
        <v>1.0489789504923879</v>
      </c>
      <c r="K20" s="50">
        <v>339653.43998335523</v>
      </c>
      <c r="L20" s="53">
        <v>2.5126758013744491E-2</v>
      </c>
      <c r="M20" s="53">
        <v>2.5126758013744491E-2</v>
      </c>
      <c r="N20" s="50" t="s">
        <v>105</v>
      </c>
      <c r="O20" s="52">
        <v>317990.87</v>
      </c>
      <c r="P20" s="50">
        <v>26499.239166666666</v>
      </c>
    </row>
    <row r="21" spans="1:16" x14ac:dyDescent="0.2">
      <c r="C21" s="48"/>
      <c r="D21" s="48"/>
      <c r="E21" s="127"/>
      <c r="F21" s="50"/>
      <c r="G21" s="50"/>
      <c r="H21" s="56"/>
      <c r="I21" s="56"/>
      <c r="J21" s="56"/>
      <c r="K21" s="50"/>
      <c r="L21" s="53"/>
      <c r="M21" s="53"/>
      <c r="N21" s="50"/>
      <c r="O21" s="52"/>
      <c r="P21" s="50"/>
    </row>
    <row r="22" spans="1:16" x14ac:dyDescent="0.2">
      <c r="A22" s="39" t="s">
        <v>60</v>
      </c>
      <c r="C22" s="48"/>
      <c r="D22" s="48"/>
      <c r="E22" s="127"/>
      <c r="F22" s="50"/>
      <c r="G22" s="50"/>
      <c r="H22" s="81"/>
      <c r="I22" s="56"/>
      <c r="J22" s="56"/>
      <c r="K22" s="50"/>
      <c r="L22" s="53"/>
      <c r="M22" s="53"/>
      <c r="N22" s="50"/>
      <c r="O22" s="52"/>
      <c r="P22" s="50"/>
    </row>
    <row r="23" spans="1:16" x14ac:dyDescent="0.2">
      <c r="A23" s="38" t="s">
        <v>294</v>
      </c>
      <c r="C23" s="48">
        <v>9250.0907200000001</v>
      </c>
      <c r="D23" s="48">
        <v>770.84089333333338</v>
      </c>
      <c r="E23" s="127">
        <v>6.6691916961762949E-4</v>
      </c>
      <c r="F23" s="50">
        <v>9084.2986051857933</v>
      </c>
      <c r="G23" s="50">
        <v>-165.7921148142068</v>
      </c>
      <c r="I23" s="56">
        <v>-5.5214140099600836E-2</v>
      </c>
      <c r="J23" s="127">
        <v>0.94478585990039921</v>
      </c>
      <c r="K23" s="50">
        <v>8739.3549150519029</v>
      </c>
      <c r="L23" s="53">
        <v>6.465168030021978E-4</v>
      </c>
      <c r="M23" s="53">
        <v>6.465168030021978E-4</v>
      </c>
      <c r="N23" s="50" t="s">
        <v>105</v>
      </c>
      <c r="O23" s="52">
        <v>9084.2999999999993</v>
      </c>
      <c r="P23" s="50">
        <v>757.02499999999998</v>
      </c>
    </row>
    <row r="24" spans="1:16" x14ac:dyDescent="0.2">
      <c r="A24" s="38" t="s">
        <v>295</v>
      </c>
      <c r="C24" s="48">
        <v>6486.4894400000003</v>
      </c>
      <c r="D24" s="48">
        <v>540.54078666666669</v>
      </c>
      <c r="E24" s="127">
        <v>4.6766721343661832E-4</v>
      </c>
      <c r="F24" s="50">
        <v>6370.2301691960465</v>
      </c>
      <c r="G24" s="50">
        <v>-116.25927080395377</v>
      </c>
      <c r="I24" s="56">
        <v>2.5729326683377206E-2</v>
      </c>
      <c r="J24" s="127">
        <v>1.0257293266833771</v>
      </c>
      <c r="K24" s="50">
        <v>6653.382445830036</v>
      </c>
      <c r="L24" s="53">
        <v>4.9220149425679115E-4</v>
      </c>
      <c r="M24" s="53">
        <v>4.9220149425679115E-4</v>
      </c>
      <c r="N24" s="50" t="s">
        <v>105</v>
      </c>
      <c r="O24" s="52">
        <v>6370.23</v>
      </c>
      <c r="P24" s="50">
        <v>530.85249999999996</v>
      </c>
    </row>
    <row r="25" spans="1:16" x14ac:dyDescent="0.2">
      <c r="C25" s="48"/>
      <c r="D25" s="48"/>
      <c r="E25" s="127"/>
      <c r="F25" s="50"/>
      <c r="G25" s="50"/>
      <c r="I25" s="56"/>
      <c r="J25" s="127"/>
      <c r="K25" s="50"/>
      <c r="L25" s="53"/>
      <c r="M25" s="53"/>
      <c r="N25" s="50"/>
      <c r="O25" s="52"/>
      <c r="P25" s="50"/>
    </row>
    <row r="26" spans="1:16" x14ac:dyDescent="0.2">
      <c r="C26" s="48"/>
      <c r="D26" s="48">
        <v>0</v>
      </c>
      <c r="E26" s="127"/>
      <c r="F26" s="50">
        <v>0</v>
      </c>
      <c r="G26" s="50">
        <v>0</v>
      </c>
      <c r="I26" s="56"/>
      <c r="J26" s="127"/>
      <c r="K26" s="50"/>
      <c r="L26" s="53">
        <v>0</v>
      </c>
      <c r="M26" s="53"/>
      <c r="N26" s="50"/>
      <c r="O26" s="52"/>
      <c r="P26" s="50"/>
    </row>
    <row r="27" spans="1:16" x14ac:dyDescent="0.2">
      <c r="A27" s="38" t="s">
        <v>297</v>
      </c>
      <c r="C27" s="48">
        <v>102432.5104</v>
      </c>
      <c r="D27" s="48">
        <v>8536.0425333333333</v>
      </c>
      <c r="E27" s="127">
        <v>7.3852470041307003E-3</v>
      </c>
      <c r="F27" s="50">
        <v>100596.5821870771</v>
      </c>
      <c r="G27" s="50">
        <v>-1835.9282129228959</v>
      </c>
      <c r="I27" s="56">
        <v>-9.6402575354341491E-2</v>
      </c>
      <c r="J27" s="127">
        <v>0.90359742464565851</v>
      </c>
      <c r="K27" s="50">
        <v>92557.75259742963</v>
      </c>
      <c r="L27" s="53">
        <v>6.8472035847056785E-3</v>
      </c>
      <c r="M27" s="53">
        <v>6.8472035847056785E-3</v>
      </c>
      <c r="N27" s="50" t="s">
        <v>105</v>
      </c>
      <c r="O27" s="52">
        <v>100596.58</v>
      </c>
      <c r="P27" s="50">
        <v>8383.0483333333341</v>
      </c>
    </row>
    <row r="28" spans="1:16" x14ac:dyDescent="0.2">
      <c r="A28" s="38" t="s">
        <v>298</v>
      </c>
      <c r="C28" s="48">
        <v>59921.780079999997</v>
      </c>
      <c r="D28" s="48">
        <v>4993.4816733333328</v>
      </c>
      <c r="E28" s="127">
        <v>4.3202802029344645E-3</v>
      </c>
      <c r="F28" s="50">
        <v>58847.784273514</v>
      </c>
      <c r="G28" s="50">
        <v>-1073.9958064859966</v>
      </c>
      <c r="I28" s="56">
        <v>-9.6402575354341491E-2</v>
      </c>
      <c r="J28" s="127">
        <v>0.90359742464565851</v>
      </c>
      <c r="K28" s="50">
        <v>54145.166160471519</v>
      </c>
      <c r="L28" s="53">
        <v>4.0055313080145042E-3</v>
      </c>
      <c r="M28" s="53">
        <v>4.0055313080145042E-3</v>
      </c>
      <c r="N28" s="50" t="s">
        <v>105</v>
      </c>
      <c r="O28" s="52">
        <v>58847.78</v>
      </c>
      <c r="P28" s="50">
        <v>4903.9816666666666</v>
      </c>
    </row>
    <row r="29" spans="1:16" x14ac:dyDescent="0.2">
      <c r="A29" s="38" t="s">
        <v>299</v>
      </c>
      <c r="C29" s="48">
        <v>25747.786960000001</v>
      </c>
      <c r="D29" s="48">
        <v>2145.6489133333334</v>
      </c>
      <c r="E29" s="127">
        <v>1.8563810041048795E-3</v>
      </c>
      <c r="F29" s="50">
        <v>25286.301750708553</v>
      </c>
      <c r="G29" s="50">
        <v>-461.48520929144797</v>
      </c>
      <c r="I29" s="56">
        <v>4.9939777419074391E-2</v>
      </c>
      <c r="J29" s="127">
        <v>1.0499397774190744</v>
      </c>
      <c r="K29" s="50">
        <v>27033.625709816148</v>
      </c>
      <c r="L29" s="53">
        <v>1.9998836799002525E-3</v>
      </c>
      <c r="M29" s="53">
        <v>1.9998836799002525E-3</v>
      </c>
      <c r="N29" s="50" t="s">
        <v>105</v>
      </c>
      <c r="O29" s="52">
        <v>25286.3</v>
      </c>
      <c r="P29" s="50">
        <v>2107.1916666666666</v>
      </c>
    </row>
    <row r="30" spans="1:16" ht="15" x14ac:dyDescent="0.35">
      <c r="A30" s="38" t="s">
        <v>300</v>
      </c>
      <c r="C30" s="58">
        <v>2597.3633599999998</v>
      </c>
      <c r="D30" s="58">
        <v>216.44694666666666</v>
      </c>
      <c r="E30" s="125">
        <v>1.8726642447961374E-4</v>
      </c>
      <c r="F30" s="58">
        <v>2550.8100474509383</v>
      </c>
      <c r="G30" s="58">
        <v>-46.553312549061502</v>
      </c>
      <c r="I30" s="56">
        <v>0.54962567038457288</v>
      </c>
      <c r="J30" s="125">
        <v>1.549625670384573</v>
      </c>
      <c r="K30" s="59">
        <v>4024.9409379723265</v>
      </c>
      <c r="L30" s="96">
        <v>2.9775560928515989E-4</v>
      </c>
      <c r="M30" s="96">
        <v>2.9775560928515989E-4</v>
      </c>
      <c r="N30" s="59" t="s">
        <v>105</v>
      </c>
      <c r="O30" s="60">
        <v>2550.81</v>
      </c>
      <c r="P30" s="59">
        <v>212.5675</v>
      </c>
    </row>
    <row r="31" spans="1:16" x14ac:dyDescent="0.2">
      <c r="C31" s="48"/>
      <c r="D31" s="48"/>
    </row>
    <row r="32" spans="1:16" ht="13.5" thickBot="1" x14ac:dyDescent="0.25">
      <c r="A32" s="64" t="s">
        <v>301</v>
      </c>
      <c r="C32" s="65">
        <v>13869882.800495051</v>
      </c>
      <c r="D32" s="65">
        <v>1155823.566707921</v>
      </c>
      <c r="E32" s="78">
        <v>1</v>
      </c>
      <c r="F32" s="65">
        <v>13621288.784357736</v>
      </c>
      <c r="G32" s="68">
        <v>-248594.01613731124</v>
      </c>
      <c r="J32" s="128"/>
      <c r="K32" s="68">
        <v>13517599.039142365</v>
      </c>
      <c r="L32" s="84">
        <v>1</v>
      </c>
      <c r="M32" s="84">
        <v>1</v>
      </c>
      <c r="N32" s="68">
        <v>0</v>
      </c>
      <c r="O32" s="100">
        <v>13621288.78435774</v>
      </c>
      <c r="P32" s="68">
        <v>1135107.3986964782</v>
      </c>
    </row>
    <row r="33" spans="1:7" ht="13.5" thickTop="1" x14ac:dyDescent="0.2">
      <c r="A33" s="71"/>
      <c r="C33" s="71"/>
      <c r="D33" s="71"/>
    </row>
    <row r="34" spans="1:7" ht="25.5" x14ac:dyDescent="0.2">
      <c r="A34" s="129" t="s">
        <v>536</v>
      </c>
      <c r="G34" s="50"/>
    </row>
  </sheetData>
  <phoneticPr fontId="41" type="noConversion"/>
  <printOptions horizontalCentered="1" verticalCentered="1"/>
  <pageMargins left="0.75" right="0.75" top="1" bottom="1" header="0.5" footer="0.5"/>
  <pageSetup scale="83" firstPageNumber="34"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3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21"/>
  <sheetViews>
    <sheetView zoomScaleNormal="100" workbookViewId="0">
      <pane xSplit="1" ySplit="5" topLeftCell="B6" activePane="bottomRight" state="frozen"/>
      <selection sqref="A1:XFD1048576"/>
      <selection pane="topRight" sqref="A1:XFD1048576"/>
      <selection pane="bottomLeft" sqref="A1:XFD1048576"/>
      <selection pane="bottomRight" activeCell="B7" sqref="B7"/>
    </sheetView>
  </sheetViews>
  <sheetFormatPr defaultColWidth="13" defaultRowHeight="12.75" x14ac:dyDescent="0.2"/>
  <cols>
    <col min="1" max="1" width="41.85546875" style="38" bestFit="1" customWidth="1"/>
    <col min="2" max="2" width="15.28515625" style="38" bestFit="1" customWidth="1"/>
    <col min="3" max="3" width="13.85546875" style="38" customWidth="1"/>
    <col min="4" max="4" width="13" style="38" hidden="1" customWidth="1"/>
    <col min="5" max="5" width="14.42578125" style="38" customWidth="1"/>
    <col min="6" max="6" width="13.85546875" style="38" customWidth="1"/>
    <col min="7" max="7" width="15" style="38" customWidth="1"/>
    <col min="8" max="9" width="13" style="38" customWidth="1"/>
    <col min="10" max="10" width="9.28515625" style="38" bestFit="1" customWidth="1"/>
    <col min="11" max="11" width="13" style="38" customWidth="1"/>
    <col min="12" max="12" width="13" style="38" hidden="1" customWidth="1"/>
    <col min="13" max="13" width="14" style="38" customWidth="1"/>
    <col min="14" max="14" width="15" style="38" customWidth="1"/>
    <col min="15" max="15" width="13.85546875" style="39" customWidth="1"/>
    <col min="16" max="16" width="13.85546875" style="38" bestFit="1"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41" t="s">
        <v>398</v>
      </c>
      <c r="K3" s="41" t="s">
        <v>39</v>
      </c>
      <c r="L3" s="44" t="s">
        <v>345</v>
      </c>
      <c r="M3" s="41" t="s">
        <v>35</v>
      </c>
      <c r="N3" s="140"/>
      <c r="O3" s="41" t="s">
        <v>34</v>
      </c>
      <c r="P3" s="41" t="s">
        <v>554</v>
      </c>
    </row>
    <row r="4" spans="1:16" x14ac:dyDescent="0.2">
      <c r="A4" s="39"/>
      <c r="B4" s="41" t="s">
        <v>41</v>
      </c>
      <c r="C4" s="41" t="s">
        <v>46</v>
      </c>
      <c r="D4" s="41" t="s">
        <v>323</v>
      </c>
      <c r="E4" s="41" t="s">
        <v>46</v>
      </c>
      <c r="F4" s="41" t="s">
        <v>554</v>
      </c>
      <c r="G4" s="41" t="s">
        <v>47</v>
      </c>
      <c r="H4" s="41" t="s">
        <v>44</v>
      </c>
      <c r="I4" s="41" t="s">
        <v>44</v>
      </c>
      <c r="J4" s="41" t="s">
        <v>44</v>
      </c>
      <c r="K4" s="41" t="s">
        <v>44</v>
      </c>
      <c r="M4" s="41" t="s">
        <v>37</v>
      </c>
      <c r="N4" s="43" t="s">
        <v>43</v>
      </c>
      <c r="O4" s="41" t="s">
        <v>554</v>
      </c>
      <c r="P4" s="41" t="s">
        <v>323</v>
      </c>
    </row>
    <row r="5" spans="1:16" x14ac:dyDescent="0.2">
      <c r="A5" s="39" t="s">
        <v>302</v>
      </c>
      <c r="B5" s="44" t="s">
        <v>45</v>
      </c>
      <c r="C5" s="44" t="s">
        <v>47</v>
      </c>
      <c r="D5" s="44" t="s">
        <v>324</v>
      </c>
      <c r="E5" s="44" t="s">
        <v>324</v>
      </c>
      <c r="F5" s="44" t="s">
        <v>47</v>
      </c>
      <c r="G5" s="44" t="s">
        <v>374</v>
      </c>
      <c r="H5" s="44" t="s">
        <v>48</v>
      </c>
      <c r="I5" s="44" t="s">
        <v>48</v>
      </c>
      <c r="J5" s="44" t="s">
        <v>48</v>
      </c>
      <c r="K5" s="44" t="s">
        <v>49</v>
      </c>
      <c r="M5" s="44" t="s">
        <v>42</v>
      </c>
      <c r="N5" s="45" t="s">
        <v>47</v>
      </c>
      <c r="O5" s="44" t="s">
        <v>47</v>
      </c>
      <c r="P5" s="44" t="s">
        <v>47</v>
      </c>
    </row>
    <row r="6" spans="1:16" x14ac:dyDescent="0.2">
      <c r="D6" s="46"/>
      <c r="H6" s="49"/>
    </row>
    <row r="7" spans="1:16" x14ac:dyDescent="0.2">
      <c r="A7" s="49" t="s">
        <v>50</v>
      </c>
      <c r="B7" s="75">
        <v>2814966.1494969195</v>
      </c>
      <c r="G7" s="50"/>
      <c r="H7" s="49"/>
    </row>
    <row r="8" spans="1:16" x14ac:dyDescent="0.2">
      <c r="D8" s="50"/>
    </row>
    <row r="9" spans="1:16" x14ac:dyDescent="0.2">
      <c r="A9" s="39" t="s">
        <v>55</v>
      </c>
    </row>
    <row r="10" spans="1:16" hidden="1" x14ac:dyDescent="0.2">
      <c r="A10" s="38" t="s">
        <v>341</v>
      </c>
      <c r="L10" s="54">
        <v>0.76133110763820466</v>
      </c>
      <c r="M10" s="54"/>
    </row>
    <row r="11" spans="1:16" hidden="1" x14ac:dyDescent="0.2">
      <c r="A11" s="38" t="s">
        <v>329</v>
      </c>
      <c r="L11" s="55">
        <v>0</v>
      </c>
      <c r="M11" s="55"/>
    </row>
    <row r="12" spans="1:16" x14ac:dyDescent="0.2">
      <c r="A12" s="38" t="s">
        <v>303</v>
      </c>
      <c r="C12" s="48">
        <v>2157218.96612436</v>
      </c>
      <c r="D12" s="48">
        <v>179768.24717702999</v>
      </c>
      <c r="E12" s="127">
        <v>0.75891617708025161</v>
      </c>
      <c r="F12" s="48">
        <v>2136323.348786518</v>
      </c>
      <c r="G12" s="48">
        <v>-20895.617337842006</v>
      </c>
      <c r="H12" s="56">
        <v>-1.2064104557819644E-2</v>
      </c>
      <c r="I12" s="56">
        <v>4.6796664076637857E-2</v>
      </c>
      <c r="J12" s="56">
        <v>1.0347325595188182</v>
      </c>
      <c r="K12" s="50">
        <v>2232144.7022603978</v>
      </c>
      <c r="L12" s="56">
        <v>0.76133110763820466</v>
      </c>
      <c r="M12" s="127">
        <v>0.76133110763820466</v>
      </c>
      <c r="N12" s="50" t="s">
        <v>105</v>
      </c>
      <c r="O12" s="52">
        <v>2136323.3494969197</v>
      </c>
      <c r="P12" s="50">
        <v>178026.94579140996</v>
      </c>
    </row>
    <row r="13" spans="1:16" x14ac:dyDescent="0.2">
      <c r="A13" s="39"/>
      <c r="B13" s="51"/>
      <c r="C13" s="48"/>
      <c r="D13" s="51"/>
      <c r="E13" s="127"/>
      <c r="F13" s="48"/>
      <c r="G13" s="48"/>
      <c r="H13" s="56"/>
      <c r="I13" s="124"/>
      <c r="J13" s="56"/>
      <c r="K13" s="50"/>
      <c r="L13" s="56"/>
      <c r="M13" s="56"/>
      <c r="N13" s="50"/>
      <c r="O13" s="52"/>
      <c r="P13" s="50"/>
    </row>
    <row r="14" spans="1:16" x14ac:dyDescent="0.2">
      <c r="A14" s="38" t="s">
        <v>208</v>
      </c>
      <c r="C14" s="48">
        <v>404280.32936000003</v>
      </c>
      <c r="D14" s="48"/>
      <c r="E14" s="127">
        <v>0.14222704641701583</v>
      </c>
      <c r="F14" s="48">
        <v>400364.32120682672</v>
      </c>
      <c r="G14" s="48">
        <v>-3916.0081531733158</v>
      </c>
      <c r="H14" s="56">
        <v>-3.3476418555141094E-2</v>
      </c>
      <c r="I14" s="56">
        <v>3.6746788870970777E-2</v>
      </c>
      <c r="J14" s="56">
        <v>1.0032703703158297</v>
      </c>
      <c r="K14" s="50">
        <v>405602.47574841283</v>
      </c>
      <c r="L14" s="56">
        <v>0.1383412920361439</v>
      </c>
      <c r="M14" s="127">
        <v>0.1383412920361439</v>
      </c>
      <c r="N14" s="50" t="s">
        <v>105</v>
      </c>
      <c r="O14" s="52">
        <v>400364.32</v>
      </c>
      <c r="P14" s="50">
        <v>33363.693333333336</v>
      </c>
    </row>
    <row r="15" spans="1:16" x14ac:dyDescent="0.2">
      <c r="C15" s="48"/>
      <c r="D15" s="48">
        <v>0</v>
      </c>
      <c r="E15" s="127"/>
      <c r="F15" s="48"/>
      <c r="G15" s="48"/>
      <c r="H15" s="56"/>
      <c r="I15" s="56"/>
      <c r="J15" s="56"/>
      <c r="K15" s="50"/>
      <c r="L15" s="56"/>
      <c r="M15" s="56"/>
      <c r="N15" s="50"/>
      <c r="O15" s="52"/>
      <c r="P15" s="50"/>
    </row>
    <row r="16" spans="1:16" x14ac:dyDescent="0.2">
      <c r="A16" s="39" t="s">
        <v>60</v>
      </c>
      <c r="C16" s="48"/>
      <c r="D16" s="48"/>
      <c r="E16" s="127"/>
      <c r="F16" s="48"/>
      <c r="G16" s="48"/>
      <c r="H16" s="56"/>
      <c r="I16" s="56"/>
      <c r="J16" s="56"/>
      <c r="K16" s="50"/>
      <c r="L16" s="56"/>
      <c r="M16" s="56"/>
      <c r="N16" s="50"/>
      <c r="O16" s="52"/>
      <c r="P16" s="50"/>
    </row>
    <row r="17" spans="1:16" ht="15" x14ac:dyDescent="0.35">
      <c r="A17" s="38" t="s">
        <v>304</v>
      </c>
      <c r="C17" s="58">
        <v>281000.35240000003</v>
      </c>
      <c r="D17" s="48"/>
      <c r="E17" s="125">
        <v>9.8856776502732502E-2</v>
      </c>
      <c r="F17" s="58">
        <v>278278.47950357443</v>
      </c>
      <c r="G17" s="58">
        <v>-2721.8728964256006</v>
      </c>
      <c r="H17" s="56"/>
      <c r="I17" s="56">
        <v>4.6796664076637857E-2</v>
      </c>
      <c r="J17" s="56">
        <v>1.046796664076638</v>
      </c>
      <c r="K17" s="59">
        <v>294150.23149667971</v>
      </c>
      <c r="L17" s="82">
        <v>0.10032760032565147</v>
      </c>
      <c r="M17" s="125">
        <v>0.10032760032565147</v>
      </c>
      <c r="N17" s="59" t="s">
        <v>105</v>
      </c>
      <c r="O17" s="60">
        <v>278278.48</v>
      </c>
      <c r="P17" s="59">
        <v>23189.873333333333</v>
      </c>
    </row>
    <row r="18" spans="1:16" x14ac:dyDescent="0.2">
      <c r="C18" s="48"/>
      <c r="D18" s="48">
        <v>0</v>
      </c>
    </row>
    <row r="19" spans="1:16" ht="15.75" thickBot="1" x14ac:dyDescent="0.4">
      <c r="A19" s="64" t="s">
        <v>305</v>
      </c>
      <c r="C19" s="65">
        <v>2842499.64788436</v>
      </c>
      <c r="D19" s="58">
        <v>236874.97065703</v>
      </c>
      <c r="E19" s="78">
        <v>0.99999999999999989</v>
      </c>
      <c r="F19" s="65">
        <v>2814966.149496919</v>
      </c>
      <c r="G19" s="68">
        <v>-27533.498387440573</v>
      </c>
      <c r="K19" s="68">
        <v>2931897.4095054902</v>
      </c>
      <c r="L19" s="78">
        <v>1</v>
      </c>
      <c r="M19" s="78">
        <v>1</v>
      </c>
      <c r="N19" s="68">
        <v>0</v>
      </c>
      <c r="O19" s="100">
        <v>2814966.1494969195</v>
      </c>
      <c r="P19" s="68">
        <v>234580.51245807661</v>
      </c>
    </row>
    <row r="20" spans="1:16" ht="13.5" thickTop="1" x14ac:dyDescent="0.2">
      <c r="A20" s="71"/>
      <c r="C20" s="71"/>
    </row>
    <row r="21" spans="1:16" ht="25.5" x14ac:dyDescent="0.2">
      <c r="A21" s="129" t="s">
        <v>536</v>
      </c>
    </row>
  </sheetData>
  <phoneticPr fontId="0" type="noConversion"/>
  <printOptions horizontalCentered="1" verticalCentered="1"/>
  <pageMargins left="0.75" right="0.75" top="1" bottom="1" header="0.5" footer="0.5"/>
  <pageSetup scale="83" firstPageNumber="36"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19"/>
  <sheetViews>
    <sheetView zoomScaleNormal="100" workbookViewId="0">
      <pane xSplit="1" ySplit="5" topLeftCell="B6" activePane="bottomRight" state="frozen"/>
      <selection sqref="A1:XFD1048576"/>
      <selection pane="topRight" sqref="A1:XFD1048576"/>
      <selection pane="bottomLeft" sqref="A1:XFD1048576"/>
      <selection pane="bottomRight" activeCell="B7" sqref="B7"/>
    </sheetView>
  </sheetViews>
  <sheetFormatPr defaultColWidth="13" defaultRowHeight="12.75" x14ac:dyDescent="0.2"/>
  <cols>
    <col min="1" max="1" width="41.85546875" style="38" bestFit="1" customWidth="1"/>
    <col min="2" max="2" width="15.28515625" style="38" bestFit="1" customWidth="1"/>
    <col min="3" max="3" width="13.85546875" style="38" customWidth="1"/>
    <col min="4" max="4" width="13" style="38" hidden="1" customWidth="1"/>
    <col min="5" max="5" width="14.42578125" style="38" customWidth="1"/>
    <col min="6" max="6" width="13.85546875" style="38" customWidth="1"/>
    <col min="7" max="7" width="15" style="38" customWidth="1"/>
    <col min="8" max="9" width="13" style="38" customWidth="1"/>
    <col min="10" max="10" width="9.28515625" style="38" bestFit="1" customWidth="1"/>
    <col min="11" max="11" width="13" style="38" customWidth="1"/>
    <col min="12" max="12" width="13" style="38" hidden="1" customWidth="1"/>
    <col min="13" max="13" width="14" style="38" customWidth="1"/>
    <col min="14" max="14" width="15" style="38" customWidth="1"/>
    <col min="15" max="16" width="13.85546875" style="39"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G2" s="39"/>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41" t="s">
        <v>398</v>
      </c>
      <c r="K3" s="41" t="s">
        <v>39</v>
      </c>
      <c r="L3" s="44" t="s">
        <v>345</v>
      </c>
      <c r="M3" s="41" t="s">
        <v>35</v>
      </c>
      <c r="N3" s="140"/>
      <c r="O3" s="41" t="s">
        <v>34</v>
      </c>
      <c r="P3" s="41" t="s">
        <v>554</v>
      </c>
    </row>
    <row r="4" spans="1:16" x14ac:dyDescent="0.2">
      <c r="B4" s="41" t="s">
        <v>41</v>
      </c>
      <c r="C4" s="41" t="s">
        <v>46</v>
      </c>
      <c r="D4" s="41" t="s">
        <v>323</v>
      </c>
      <c r="E4" s="41" t="s">
        <v>46</v>
      </c>
      <c r="F4" s="41" t="s">
        <v>46</v>
      </c>
      <c r="G4" s="41" t="s">
        <v>47</v>
      </c>
      <c r="H4" s="41" t="s">
        <v>44</v>
      </c>
      <c r="I4" s="41" t="s">
        <v>44</v>
      </c>
      <c r="J4" s="41" t="s">
        <v>44</v>
      </c>
      <c r="K4" s="41" t="s">
        <v>44</v>
      </c>
      <c r="M4" s="41" t="s">
        <v>37</v>
      </c>
      <c r="N4" s="43" t="s">
        <v>43</v>
      </c>
      <c r="O4" s="41" t="s">
        <v>554</v>
      </c>
      <c r="P4" s="41" t="s">
        <v>323</v>
      </c>
    </row>
    <row r="5" spans="1:16" x14ac:dyDescent="0.2">
      <c r="A5" s="39" t="s">
        <v>306</v>
      </c>
      <c r="B5" s="44" t="s">
        <v>45</v>
      </c>
      <c r="C5" s="44" t="s">
        <v>47</v>
      </c>
      <c r="D5" s="44" t="s">
        <v>324</v>
      </c>
      <c r="E5" s="44" t="s">
        <v>324</v>
      </c>
      <c r="F5" s="44" t="s">
        <v>47</v>
      </c>
      <c r="G5" s="44" t="s">
        <v>374</v>
      </c>
      <c r="H5" s="44" t="s">
        <v>48</v>
      </c>
      <c r="I5" s="44" t="s">
        <v>48</v>
      </c>
      <c r="J5" s="44" t="s">
        <v>48</v>
      </c>
      <c r="K5" s="44" t="s">
        <v>49</v>
      </c>
      <c r="M5" s="44" t="s">
        <v>42</v>
      </c>
      <c r="N5" s="45" t="s">
        <v>47</v>
      </c>
      <c r="O5" s="44" t="s">
        <v>47</v>
      </c>
      <c r="P5" s="44" t="s">
        <v>47</v>
      </c>
    </row>
    <row r="6" spans="1:16" x14ac:dyDescent="0.2">
      <c r="D6" s="46"/>
      <c r="H6" s="26"/>
      <c r="I6" s="21"/>
    </row>
    <row r="7" spans="1:16" x14ac:dyDescent="0.2">
      <c r="A7" s="49" t="s">
        <v>50</v>
      </c>
      <c r="B7" s="75">
        <v>2728740.8777175108</v>
      </c>
      <c r="H7" s="26"/>
      <c r="I7" s="21"/>
    </row>
    <row r="8" spans="1:16" x14ac:dyDescent="0.2">
      <c r="D8" s="50"/>
    </row>
    <row r="9" spans="1:16" x14ac:dyDescent="0.2">
      <c r="A9" s="39" t="s">
        <v>55</v>
      </c>
    </row>
    <row r="10" spans="1:16" hidden="1" x14ac:dyDescent="0.2">
      <c r="A10" s="38" t="s">
        <v>342</v>
      </c>
      <c r="L10" s="54">
        <v>0.99964523708393349</v>
      </c>
      <c r="M10" s="54"/>
    </row>
    <row r="11" spans="1:16" hidden="1" x14ac:dyDescent="0.2">
      <c r="A11" s="38" t="s">
        <v>329</v>
      </c>
      <c r="L11" s="55">
        <v>0</v>
      </c>
      <c r="M11" s="55"/>
    </row>
    <row r="12" spans="1:16" x14ac:dyDescent="0.2">
      <c r="A12" s="38" t="s">
        <v>307</v>
      </c>
      <c r="C12" s="48">
        <v>2419127.4042289588</v>
      </c>
      <c r="D12" s="48">
        <v>201593.95035241323</v>
      </c>
      <c r="E12" s="127">
        <v>0.99965532281540848</v>
      </c>
      <c r="F12" s="48" t="s">
        <v>105</v>
      </c>
      <c r="G12" s="48" t="s">
        <v>105</v>
      </c>
      <c r="H12" s="56">
        <v>-1.5861886468616169E-2</v>
      </c>
      <c r="I12" s="56">
        <v>-2.5795234948165748E-2</v>
      </c>
      <c r="J12" s="56">
        <v>0.95834287858321809</v>
      </c>
      <c r="K12" s="50">
        <v>2318353.5202283286</v>
      </c>
      <c r="L12" s="56">
        <v>0.99964523708393349</v>
      </c>
      <c r="M12" s="127">
        <v>0.99964523708393349</v>
      </c>
      <c r="N12" s="50">
        <v>308669.8244995501</v>
      </c>
      <c r="O12" s="52">
        <v>2727797.2277175109</v>
      </c>
      <c r="P12" s="50">
        <v>227316.43564312591</v>
      </c>
    </row>
    <row r="13" spans="1:16" x14ac:dyDescent="0.2">
      <c r="C13" s="48"/>
      <c r="D13" s="48"/>
      <c r="E13" s="127"/>
      <c r="F13" s="48"/>
      <c r="G13" s="48"/>
      <c r="J13" s="56"/>
      <c r="K13" s="50"/>
      <c r="L13" s="56"/>
      <c r="M13" s="56"/>
      <c r="N13" s="50"/>
      <c r="O13" s="52"/>
      <c r="P13" s="50"/>
    </row>
    <row r="14" spans="1:16" x14ac:dyDescent="0.2">
      <c r="A14" s="39" t="s">
        <v>60</v>
      </c>
      <c r="C14" s="48"/>
      <c r="D14" s="48"/>
      <c r="E14" s="127"/>
      <c r="F14" s="48"/>
      <c r="G14" s="48"/>
      <c r="J14" s="56"/>
      <c r="K14" s="50"/>
      <c r="L14" s="56"/>
      <c r="M14" s="56"/>
      <c r="N14" s="50"/>
      <c r="O14" s="52"/>
      <c r="P14" s="50"/>
    </row>
    <row r="15" spans="1:16" ht="15" x14ac:dyDescent="0.35">
      <c r="A15" s="38" t="s">
        <v>61</v>
      </c>
      <c r="C15" s="58">
        <v>834.10552000000007</v>
      </c>
      <c r="D15" s="48">
        <v>69.508793333333344</v>
      </c>
      <c r="E15" s="125">
        <v>3.4467718459147236E-4</v>
      </c>
      <c r="F15" s="58" t="s">
        <v>105</v>
      </c>
      <c r="G15" s="58" t="s">
        <v>105</v>
      </c>
      <c r="I15" s="56">
        <v>-1.3604730437227935E-2</v>
      </c>
      <c r="J15" s="56">
        <v>0.98639526956277201</v>
      </c>
      <c r="K15" s="59">
        <v>822.75773924419616</v>
      </c>
      <c r="L15" s="82">
        <v>3.5476291606657259E-4</v>
      </c>
      <c r="M15" s="125">
        <v>3.5476291606657259E-4</v>
      </c>
      <c r="N15" s="59">
        <v>109.54346900171669</v>
      </c>
      <c r="O15" s="60">
        <v>943.65</v>
      </c>
      <c r="P15" s="59">
        <v>78.637500000000003</v>
      </c>
    </row>
    <row r="16" spans="1:16" ht="15" x14ac:dyDescent="0.35">
      <c r="D16" s="58">
        <v>0</v>
      </c>
    </row>
    <row r="17" spans="1:16" ht="13.5" thickBot="1" x14ac:dyDescent="0.25">
      <c r="A17" s="64" t="s">
        <v>308</v>
      </c>
      <c r="C17" s="68">
        <v>2419961.509748959</v>
      </c>
      <c r="D17" s="77"/>
      <c r="E17" s="78">
        <v>1</v>
      </c>
      <c r="F17" s="68">
        <v>0</v>
      </c>
      <c r="G17" s="68">
        <v>308779.36796855181</v>
      </c>
      <c r="K17" s="68">
        <v>2319176.2779675727</v>
      </c>
      <c r="L17" s="78">
        <v>1</v>
      </c>
      <c r="M17" s="78">
        <v>1</v>
      </c>
      <c r="N17" s="68">
        <v>308779.36796855181</v>
      </c>
      <c r="O17" s="100">
        <v>2728740.8777175108</v>
      </c>
      <c r="P17" s="68">
        <v>227395.07314312592</v>
      </c>
    </row>
    <row r="18" spans="1:16" ht="13.5" thickTop="1" x14ac:dyDescent="0.2">
      <c r="A18" s="71"/>
    </row>
    <row r="19" spans="1:16" ht="25.5" x14ac:dyDescent="0.2">
      <c r="A19" s="129" t="s">
        <v>536</v>
      </c>
    </row>
  </sheetData>
  <phoneticPr fontId="0" type="noConversion"/>
  <printOptions horizontalCentered="1" verticalCentered="1"/>
  <pageMargins left="0.75" right="0.75" top="1" bottom="1" header="0.5" footer="0.5"/>
  <pageSetup scale="83" firstPageNumber="38"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sheetPr>
  <dimension ref="A1:R38"/>
  <sheetViews>
    <sheetView zoomScaleNormal="100" workbookViewId="0">
      <pane xSplit="1" ySplit="5" topLeftCell="H6" activePane="bottomRight" state="frozen"/>
      <selection activeCell="O21" sqref="O21"/>
      <selection pane="topRight" activeCell="O21" sqref="O21"/>
      <selection pane="bottomLeft" activeCell="O21" sqref="O21"/>
      <selection pane="bottomRight" activeCell="O21" sqref="O21"/>
    </sheetView>
  </sheetViews>
  <sheetFormatPr defaultColWidth="13" defaultRowHeight="12.75" x14ac:dyDescent="0.2"/>
  <cols>
    <col min="1" max="1" width="38.85546875" style="38" customWidth="1"/>
    <col min="2" max="2" width="14.7109375" style="38" customWidth="1"/>
    <col min="3" max="3" width="13.85546875" style="38" customWidth="1"/>
    <col min="4" max="4" width="12.85546875" style="38" customWidth="1"/>
    <col min="5" max="5" width="13.42578125" style="38" customWidth="1"/>
    <col min="6" max="6" width="13.140625" style="38" customWidth="1"/>
    <col min="7" max="7" width="11.7109375" style="38" customWidth="1"/>
    <col min="8" max="8" width="10.140625" style="38" bestFit="1" customWidth="1"/>
    <col min="9" max="9" width="13" style="38" hidden="1" customWidth="1"/>
    <col min="10" max="10" width="8.7109375" style="38" customWidth="1"/>
    <col min="11" max="11" width="11.85546875" style="38" customWidth="1"/>
    <col min="12" max="12" width="13.7109375" style="38" customWidth="1"/>
    <col min="13" max="13" width="12.85546875" style="38" customWidth="1"/>
    <col min="14" max="14" width="14.28515625" style="38" customWidth="1"/>
    <col min="15" max="15" width="14.5703125" style="39" bestFit="1" customWidth="1"/>
    <col min="16" max="16" width="13.85546875" style="38" bestFit="1" customWidth="1"/>
    <col min="17" max="18" width="14.5703125" style="38" bestFit="1" customWidth="1"/>
    <col min="19" max="16384" width="13" style="38"/>
  </cols>
  <sheetData>
    <row r="1" spans="1:18" x14ac:dyDescent="0.2">
      <c r="B1" s="40" t="s">
        <v>23</v>
      </c>
      <c r="C1" s="40" t="s">
        <v>403</v>
      </c>
      <c r="D1" s="40" t="s">
        <v>404</v>
      </c>
      <c r="E1" s="40" t="s">
        <v>24</v>
      </c>
      <c r="F1" s="40" t="s">
        <v>25</v>
      </c>
      <c r="G1" s="40" t="s">
        <v>26</v>
      </c>
      <c r="H1" s="40" t="s">
        <v>27</v>
      </c>
      <c r="I1" s="40"/>
      <c r="J1" s="40" t="s">
        <v>28</v>
      </c>
      <c r="K1" s="40" t="s">
        <v>29</v>
      </c>
      <c r="L1" s="40" t="s">
        <v>30</v>
      </c>
      <c r="M1" s="40" t="s">
        <v>31</v>
      </c>
      <c r="N1" s="40" t="s">
        <v>32</v>
      </c>
      <c r="O1" s="40" t="s">
        <v>33</v>
      </c>
      <c r="P1" s="331" t="s">
        <v>353</v>
      </c>
      <c r="Q1" s="40"/>
    </row>
    <row r="2" spans="1:18" x14ac:dyDescent="0.2">
      <c r="B2" s="39"/>
      <c r="G2" s="42"/>
      <c r="H2" s="41" t="s">
        <v>81</v>
      </c>
      <c r="I2" s="42"/>
      <c r="J2" s="39"/>
      <c r="K2" s="41" t="s">
        <v>474</v>
      </c>
      <c r="L2" s="273" t="s">
        <v>519</v>
      </c>
      <c r="M2" s="41" t="s">
        <v>521</v>
      </c>
      <c r="N2" s="41"/>
      <c r="O2" s="41"/>
      <c r="P2" s="41" t="s">
        <v>34</v>
      </c>
    </row>
    <row r="3" spans="1:18" x14ac:dyDescent="0.2">
      <c r="B3" s="41" t="s">
        <v>36</v>
      </c>
      <c r="C3" s="41" t="str">
        <f>'CC 2 TIER'!C3</f>
        <v>FY 15-16</v>
      </c>
      <c r="D3" s="41" t="str">
        <f>'CC 2 TIER'!E3</f>
        <v>% OF FY 16</v>
      </c>
      <c r="E3" s="41" t="s">
        <v>373</v>
      </c>
      <c r="F3" s="41" t="s">
        <v>43</v>
      </c>
      <c r="G3" s="41" t="s">
        <v>38</v>
      </c>
      <c r="H3" s="41" t="s">
        <v>100</v>
      </c>
      <c r="I3" s="41"/>
      <c r="J3" s="273" t="s">
        <v>519</v>
      </c>
      <c r="K3" s="41" t="s">
        <v>39</v>
      </c>
      <c r="L3" s="273" t="s">
        <v>35</v>
      </c>
      <c r="M3" s="41" t="s">
        <v>35</v>
      </c>
      <c r="N3" s="140"/>
      <c r="O3" s="41" t="s">
        <v>34</v>
      </c>
      <c r="P3" s="41" t="str">
        <f>O4</f>
        <v>FY 15-16</v>
      </c>
      <c r="R3" s="119">
        <v>1.1499999999999999</v>
      </c>
    </row>
    <row r="4" spans="1:18" x14ac:dyDescent="0.2">
      <c r="A4" s="39" t="s">
        <v>309</v>
      </c>
      <c r="B4" s="41" t="s">
        <v>41</v>
      </c>
      <c r="C4" s="41" t="s">
        <v>46</v>
      </c>
      <c r="D4" s="41" t="s">
        <v>46</v>
      </c>
      <c r="E4" s="41" t="str">
        <f>C4</f>
        <v>BASE</v>
      </c>
      <c r="F4" s="41" t="s">
        <v>47</v>
      </c>
      <c r="G4" s="41" t="s">
        <v>44</v>
      </c>
      <c r="H4" s="41" t="s">
        <v>44</v>
      </c>
      <c r="I4" s="41"/>
      <c r="J4" s="273" t="s">
        <v>44</v>
      </c>
      <c r="K4" s="41" t="s">
        <v>44</v>
      </c>
      <c r="L4" s="273" t="s">
        <v>37</v>
      </c>
      <c r="M4" s="41" t="s">
        <v>37</v>
      </c>
      <c r="N4" s="43" t="s">
        <v>43</v>
      </c>
      <c r="O4" s="41" t="str">
        <f>'CC 2 TIER'!O4</f>
        <v>FY 15-16</v>
      </c>
      <c r="P4" s="41" t="s">
        <v>323</v>
      </c>
      <c r="R4" s="41" t="s">
        <v>364</v>
      </c>
    </row>
    <row r="5" spans="1:18" x14ac:dyDescent="0.2">
      <c r="B5" s="44" t="s">
        <v>45</v>
      </c>
      <c r="C5" s="44" t="s">
        <v>47</v>
      </c>
      <c r="D5" s="44" t="s">
        <v>324</v>
      </c>
      <c r="E5" s="44" t="s">
        <v>47</v>
      </c>
      <c r="F5" s="44" t="s">
        <v>374</v>
      </c>
      <c r="G5" s="44" t="s">
        <v>48</v>
      </c>
      <c r="H5" s="44" t="s">
        <v>48</v>
      </c>
      <c r="I5" s="44" t="s">
        <v>345</v>
      </c>
      <c r="J5" s="274" t="s">
        <v>48</v>
      </c>
      <c r="K5" s="44" t="s">
        <v>49</v>
      </c>
      <c r="L5" s="274" t="s">
        <v>42</v>
      </c>
      <c r="M5" s="44" t="s">
        <v>42</v>
      </c>
      <c r="N5" s="45" t="s">
        <v>47</v>
      </c>
      <c r="O5" s="44" t="s">
        <v>47</v>
      </c>
      <c r="P5" s="44" t="s">
        <v>47</v>
      </c>
      <c r="Q5" s="44" t="s">
        <v>382</v>
      </c>
      <c r="R5" s="44" t="s">
        <v>5</v>
      </c>
    </row>
    <row r="6" spans="1:18" x14ac:dyDescent="0.2">
      <c r="G6" s="24"/>
      <c r="H6" s="24"/>
      <c r="I6" s="24"/>
      <c r="N6" s="48"/>
    </row>
    <row r="7" spans="1:18" x14ac:dyDescent="0.2">
      <c r="A7" s="49" t="s">
        <v>50</v>
      </c>
      <c r="B7" s="50">
        <f>'REV SUMMARY'!H21</f>
        <v>174072604.67945793</v>
      </c>
      <c r="C7" s="46"/>
      <c r="E7" s="46"/>
      <c r="F7" s="46"/>
      <c r="G7" s="24"/>
      <c r="H7" s="24"/>
      <c r="I7" s="24"/>
      <c r="N7" s="48"/>
      <c r="R7" s="52" t="e">
        <f>IF('REV SUMMARY'!#REF!&lt;0,'REV SUMMARY'!#REF!*-1,0)</f>
        <v>#REF!</v>
      </c>
    </row>
    <row r="9" spans="1:18" x14ac:dyDescent="0.2">
      <c r="A9" s="39" t="s">
        <v>320</v>
      </c>
    </row>
    <row r="10" spans="1:18" x14ac:dyDescent="0.2">
      <c r="A10" s="38" t="s">
        <v>310</v>
      </c>
      <c r="C10" s="50">
        <v>131943.92000000001</v>
      </c>
      <c r="E10" s="50" t="str">
        <f>IF($F$30&lt;0,C10," ")</f>
        <v xml:space="preserve"> </v>
      </c>
      <c r="F10" s="50"/>
      <c r="O10" s="52">
        <f>C10</f>
        <v>131943.92000000001</v>
      </c>
      <c r="P10" s="50">
        <f>O10/12</f>
        <v>10995.326666666668</v>
      </c>
      <c r="Q10" s="50">
        <f>O10</f>
        <v>131943.92000000001</v>
      </c>
    </row>
    <row r="11" spans="1:18" x14ac:dyDescent="0.2">
      <c r="A11" s="38" t="s">
        <v>311</v>
      </c>
      <c r="C11" s="50">
        <v>63893.35</v>
      </c>
      <c r="E11" s="50" t="str">
        <f>IF($F$30&lt;0,C11," ")</f>
        <v xml:space="preserve"> </v>
      </c>
      <c r="F11" s="50"/>
      <c r="O11" s="52">
        <f>C11</f>
        <v>63893.35</v>
      </c>
      <c r="P11" s="50">
        <f t="shared" ref="P11:P28" si="0">O11/12</f>
        <v>5324.4458333333332</v>
      </c>
      <c r="Q11" s="50">
        <f>O11</f>
        <v>63893.35</v>
      </c>
    </row>
    <row r="12" spans="1:18" x14ac:dyDescent="0.2">
      <c r="A12" s="38" t="s">
        <v>312</v>
      </c>
      <c r="C12" s="50">
        <v>9029.5499999999993</v>
      </c>
      <c r="E12" s="50" t="str">
        <f>IF($F$30&lt;0,C12," ")</f>
        <v xml:space="preserve"> </v>
      </c>
      <c r="F12" s="50"/>
      <c r="O12" s="52">
        <f>C12</f>
        <v>9029.5499999999993</v>
      </c>
      <c r="P12" s="50">
        <f t="shared" si="0"/>
        <v>752.46249999999998</v>
      </c>
      <c r="Q12" s="50">
        <f>O12</f>
        <v>9029.5499999999993</v>
      </c>
    </row>
    <row r="13" spans="1:18" x14ac:dyDescent="0.2">
      <c r="N13" s="50"/>
      <c r="O13" s="52"/>
      <c r="P13" s="50"/>
    </row>
    <row r="14" spans="1:18" x14ac:dyDescent="0.2">
      <c r="A14" s="39" t="s">
        <v>55</v>
      </c>
      <c r="O14" s="52"/>
      <c r="P14" s="50"/>
    </row>
    <row r="15" spans="1:18" hidden="1" x14ac:dyDescent="0.2">
      <c r="A15" s="38" t="s">
        <v>343</v>
      </c>
      <c r="L15" s="54"/>
      <c r="O15" s="52"/>
      <c r="P15" s="50">
        <f t="shared" si="0"/>
        <v>0</v>
      </c>
    </row>
    <row r="16" spans="1:18" hidden="1" x14ac:dyDescent="0.2">
      <c r="A16" s="38" t="s">
        <v>329</v>
      </c>
      <c r="L16" s="55"/>
      <c r="O16" s="52"/>
      <c r="P16" s="50">
        <f t="shared" si="0"/>
        <v>0</v>
      </c>
    </row>
    <row r="17" spans="1:18" x14ac:dyDescent="0.2">
      <c r="A17" s="38" t="s">
        <v>313</v>
      </c>
      <c r="C17" s="48">
        <f>'BASE CALC'!D292</f>
        <v>87215778.647953331</v>
      </c>
      <c r="D17" s="127">
        <f>C17/$C$36</f>
        <v>0.51293807669412184</v>
      </c>
      <c r="E17" s="48" t="str">
        <f>IF($F$30&lt;0,$C$38*D17," ")</f>
        <v xml:space="preserve"> </v>
      </c>
      <c r="F17" s="48" t="str">
        <f>IF($F$30&lt;0,E17-C17," ")</f>
        <v xml:space="preserve"> </v>
      </c>
      <c r="G17" s="56">
        <f>Population!AP183</f>
        <v>9.5089045857154764E-3</v>
      </c>
      <c r="H17" s="56">
        <f>'Data Base'!B193</f>
        <v>1.0488936094299175E-2</v>
      </c>
      <c r="I17" s="56">
        <f>IF(H17&lt;0,G17+0.02,SUM(H17+G17+0.02))</f>
        <v>3.9997840680014649E-2</v>
      </c>
      <c r="J17" s="56">
        <f>IF(I17&lt;0,0,I17)</f>
        <v>3.9997840680014649E-2</v>
      </c>
      <c r="K17" s="50">
        <f>C17*J17</f>
        <v>3488442.8191442606</v>
      </c>
      <c r="L17" s="127">
        <f>K17/$K$30</f>
        <v>0.49181293983605651</v>
      </c>
      <c r="M17" s="56">
        <f>D17</f>
        <v>0.51293807669412184</v>
      </c>
      <c r="N17" s="330">
        <f>IF($F$30&gt;0,(IF($J$36=0,$F$30*M17,$F$30*L17)),0)</f>
        <v>1886569.4568439685</v>
      </c>
      <c r="O17" s="52">
        <f>Q17+Q34</f>
        <v>89102348.099457949</v>
      </c>
      <c r="P17" s="50">
        <f t="shared" si="0"/>
        <v>7425195.6749548288</v>
      </c>
      <c r="Q17" s="52">
        <f>ROUND(IF($F$30&gt;0,C17+N17,E17),2)</f>
        <v>89102348.099999994</v>
      </c>
      <c r="R17" s="50" t="e">
        <f>$R$7*L17</f>
        <v>#REF!</v>
      </c>
    </row>
    <row r="18" spans="1:18" x14ac:dyDescent="0.2">
      <c r="C18" s="48"/>
      <c r="D18" s="127"/>
      <c r="E18" s="48"/>
      <c r="F18" s="48"/>
      <c r="G18" s="56"/>
      <c r="H18" s="56"/>
      <c r="I18" s="56"/>
      <c r="J18" s="56"/>
      <c r="K18" s="50"/>
      <c r="L18" s="56"/>
      <c r="M18" s="56"/>
      <c r="N18" s="50"/>
      <c r="O18" s="52"/>
      <c r="P18" s="50"/>
      <c r="R18" s="50"/>
    </row>
    <row r="19" spans="1:18" x14ac:dyDescent="0.2">
      <c r="A19" s="38" t="s">
        <v>213</v>
      </c>
      <c r="C19" s="48">
        <f>'BASE CALC'!D294</f>
        <v>50552705.081840001</v>
      </c>
      <c r="D19" s="127">
        <f>C19/$C$36</f>
        <v>0.29731325820104537</v>
      </c>
      <c r="E19" s="48" t="str">
        <f>IF($F$30&lt;0,$C$38*D19," ")</f>
        <v xml:space="preserve"> </v>
      </c>
      <c r="F19" s="48" t="str">
        <f>IF($F$30&lt;0,E19-C19," ")</f>
        <v xml:space="preserve"> </v>
      </c>
      <c r="G19" s="56">
        <f>Population!AP184</f>
        <v>1.5443714627420824E-2</v>
      </c>
      <c r="H19" s="56">
        <f>'Data Base'!B194</f>
        <v>1.0869027402782722E-2</v>
      </c>
      <c r="I19" s="56">
        <f t="shared" ref="I19:I20" si="1">IF(H19&lt;0,G19+0.02,SUM(H19+G19+0.02))</f>
        <v>4.6312742030203552E-2</v>
      </c>
      <c r="J19" s="56">
        <f t="shared" ref="J19:J20" si="2">IF(I19&lt;0,0,I19)</f>
        <v>4.6312742030203552E-2</v>
      </c>
      <c r="K19" s="50">
        <f>C19*J19</f>
        <v>2341234.3893842162</v>
      </c>
      <c r="L19" s="127">
        <f>K19/$K$30</f>
        <v>0.3300754599070036</v>
      </c>
      <c r="M19" s="56">
        <f t="shared" ref="M19:M20" si="3">D19</f>
        <v>0.29731325820104537</v>
      </c>
      <c r="N19" s="330">
        <f t="shared" ref="N19:N20" si="4">IF($F$30&gt;0,(IF($J$36=0,$F$30*M19,$F$30*L19)),0)</f>
        <v>1266152.6988733895</v>
      </c>
      <c r="O19" s="52">
        <f>ROUND(IF($F$30&gt;0,C19+N19,E19),2)</f>
        <v>51818857.780000001</v>
      </c>
      <c r="P19" s="50">
        <f t="shared" si="0"/>
        <v>4318238.1483333334</v>
      </c>
      <c r="Q19" s="50">
        <f>O19</f>
        <v>51818857.780000001</v>
      </c>
      <c r="R19" s="50" t="e">
        <f>$R$7*L19</f>
        <v>#REF!</v>
      </c>
    </row>
    <row r="20" spans="1:18" x14ac:dyDescent="0.2">
      <c r="A20" s="38" t="s">
        <v>214</v>
      </c>
      <c r="C20" s="48">
        <f>'BASE CALC'!D295</f>
        <v>20729806.871519998</v>
      </c>
      <c r="D20" s="127">
        <f>C20/$C$36</f>
        <v>0.12191724286311331</v>
      </c>
      <c r="E20" s="48" t="str">
        <f>IF($F$30&lt;0,$C$38*D20," ")</f>
        <v xml:space="preserve"> </v>
      </c>
      <c r="F20" s="48" t="str">
        <f>IF($F$30&lt;0,E20-C20," ")</f>
        <v xml:space="preserve"> </v>
      </c>
      <c r="G20" s="56">
        <f>Population!AP185</f>
        <v>2.6690879994565363E-3</v>
      </c>
      <c r="H20" s="56">
        <f>'Data Base'!B195</f>
        <v>1.9599098658767765E-2</v>
      </c>
      <c r="I20" s="56">
        <f t="shared" si="1"/>
        <v>4.2268186658224301E-2</v>
      </c>
      <c r="J20" s="56">
        <f t="shared" si="2"/>
        <v>4.2268186658224301E-2</v>
      </c>
      <c r="K20" s="50">
        <f>C20*J20</f>
        <v>876211.34623434802</v>
      </c>
      <c r="L20" s="127">
        <f>K20/$K$30</f>
        <v>0.12353135781509933</v>
      </c>
      <c r="M20" s="56">
        <f t="shared" si="3"/>
        <v>0.12191724286311331</v>
      </c>
      <c r="N20" s="330">
        <f t="shared" si="4"/>
        <v>473860.01412267867</v>
      </c>
      <c r="O20" s="52">
        <f>ROUND(IF($F$30&gt;0,C20+N20,E20),2)</f>
        <v>21203666.890000001</v>
      </c>
      <c r="P20" s="50">
        <f t="shared" si="0"/>
        <v>1766972.2408333335</v>
      </c>
      <c r="Q20" s="50">
        <f t="shared" ref="Q20:Q28" si="5">O20</f>
        <v>21203666.890000001</v>
      </c>
      <c r="R20" s="50" t="e">
        <f>$R$7*L20</f>
        <v>#REF!</v>
      </c>
    </row>
    <row r="21" spans="1:18" x14ac:dyDescent="0.2">
      <c r="C21" s="48"/>
      <c r="D21" s="127"/>
      <c r="E21" s="48"/>
      <c r="F21" s="48"/>
      <c r="G21" s="56"/>
      <c r="H21" s="56"/>
      <c r="I21" s="56"/>
      <c r="J21" s="56"/>
      <c r="K21" s="50"/>
      <c r="L21" s="56"/>
      <c r="M21" s="56"/>
      <c r="N21" s="50"/>
      <c r="O21" s="52"/>
      <c r="P21" s="50"/>
      <c r="Q21" s="50"/>
      <c r="R21" s="50"/>
    </row>
    <row r="22" spans="1:18" x14ac:dyDescent="0.2">
      <c r="A22" s="39" t="s">
        <v>60</v>
      </c>
      <c r="C22" s="48"/>
      <c r="D22" s="127"/>
      <c r="E22" s="48"/>
      <c r="F22" s="48"/>
      <c r="G22" s="56"/>
      <c r="H22" s="56"/>
      <c r="I22" s="56"/>
      <c r="J22" s="56"/>
      <c r="K22" s="50"/>
      <c r="L22" s="56"/>
      <c r="M22" s="56"/>
      <c r="N22" s="50"/>
      <c r="O22" s="52"/>
      <c r="P22" s="50"/>
      <c r="Q22" s="50"/>
      <c r="R22" s="50"/>
    </row>
    <row r="23" spans="1:18" x14ac:dyDescent="0.2">
      <c r="A23" s="38" t="s">
        <v>61</v>
      </c>
      <c r="C23" s="48">
        <f>'BASE CALC'!D298</f>
        <v>165446.62872000001</v>
      </c>
      <c r="D23" s="127">
        <f t="shared" ref="D23:D28" si="6">C23/$C$36</f>
        <v>9.7303351350810582E-4</v>
      </c>
      <c r="E23" s="48" t="str">
        <f t="shared" ref="E23:E28" si="7">IF($F$30&lt;0,$C$38*D23," ")</f>
        <v xml:space="preserve"> </v>
      </c>
      <c r="F23" s="48" t="str">
        <f t="shared" ref="F23:F28" si="8">IF($F$30&lt;0,E23-C23," ")</f>
        <v xml:space="preserve"> </v>
      </c>
      <c r="G23" s="56"/>
      <c r="H23" s="56">
        <f>'Data Base'!B196</f>
        <v>1.0484529767540671E-2</v>
      </c>
      <c r="I23" s="56">
        <f t="shared" ref="I23:I28" si="9">IF((H23&lt;0),0,SUM(H23+0.02))</f>
        <v>3.0484529767540673E-2</v>
      </c>
      <c r="J23" s="56">
        <f>I23+0.02</f>
        <v>5.048452976754067E-2</v>
      </c>
      <c r="K23" s="50">
        <f t="shared" ref="K23:K28" si="10">C23*J23</f>
        <v>8352.4952525540903</v>
      </c>
      <c r="L23" s="127">
        <f t="shared" ref="L23:L28" si="11">K23/$K$30</f>
        <v>1.1775641620329097E-3</v>
      </c>
      <c r="M23" s="56">
        <f t="shared" ref="M23:M28" si="12">D23</f>
        <v>9.7303351350810582E-4</v>
      </c>
      <c r="N23" s="330">
        <f t="shared" ref="N23:N28" si="13">IF($F$30&gt;0,(IF($J$36=0,$F$30*M23,$F$30*L23)),0)</f>
        <v>4517.0763142301512</v>
      </c>
      <c r="O23" s="52">
        <f t="shared" ref="O23:O28" si="14">ROUND(IF($F$30&gt;0,C23+N23,E23),2)</f>
        <v>169963.71</v>
      </c>
      <c r="P23" s="50">
        <f t="shared" si="0"/>
        <v>14163.6425</v>
      </c>
      <c r="Q23" s="50">
        <f t="shared" si="5"/>
        <v>169963.71</v>
      </c>
      <c r="R23" s="50" t="e">
        <f t="shared" ref="R23:R28" si="15">$R$7*L23</f>
        <v>#REF!</v>
      </c>
    </row>
    <row r="24" spans="1:18" x14ac:dyDescent="0.2">
      <c r="A24" s="38" t="s">
        <v>216</v>
      </c>
      <c r="C24" s="48">
        <f>'BASE CALC'!D299</f>
        <v>1137273.8443199999</v>
      </c>
      <c r="D24" s="127">
        <f t="shared" si="6"/>
        <v>6.6885954287552564E-3</v>
      </c>
      <c r="E24" s="48" t="str">
        <f t="shared" si="7"/>
        <v xml:space="preserve"> </v>
      </c>
      <c r="F24" s="48" t="str">
        <f t="shared" si="8"/>
        <v xml:space="preserve"> </v>
      </c>
      <c r="G24" s="56"/>
      <c r="H24" s="56">
        <f>'Data Base'!B197</f>
        <v>5.4215938034974653E-3</v>
      </c>
      <c r="I24" s="56">
        <f t="shared" si="9"/>
        <v>2.5421593803497466E-2</v>
      </c>
      <c r="J24" s="56">
        <f t="shared" ref="J24:J28" si="16">I24+0.02</f>
        <v>4.5421593803497466E-2</v>
      </c>
      <c r="K24" s="50">
        <f t="shared" si="10"/>
        <v>51656.790600045053</v>
      </c>
      <c r="L24" s="127">
        <f t="shared" si="11"/>
        <v>7.2827560503731775E-3</v>
      </c>
      <c r="M24" s="56">
        <f t="shared" si="12"/>
        <v>6.6885954287552564E-3</v>
      </c>
      <c r="N24" s="330">
        <f t="shared" si="13"/>
        <v>27936.282300460865</v>
      </c>
      <c r="O24" s="52">
        <f t="shared" si="14"/>
        <v>1165210.1299999999</v>
      </c>
      <c r="P24" s="50">
        <f t="shared" si="0"/>
        <v>97100.844166666662</v>
      </c>
      <c r="Q24" s="50">
        <f t="shared" si="5"/>
        <v>1165210.1299999999</v>
      </c>
      <c r="R24" s="50" t="e">
        <f t="shared" si="15"/>
        <v>#REF!</v>
      </c>
    </row>
    <row r="25" spans="1:18" x14ac:dyDescent="0.2">
      <c r="A25" s="38" t="s">
        <v>314</v>
      </c>
      <c r="C25" s="48">
        <f>'BASE CALC'!D300</f>
        <v>3139588.1531199999</v>
      </c>
      <c r="D25" s="127">
        <f t="shared" si="6"/>
        <v>1.8464712851713031E-2</v>
      </c>
      <c r="E25" s="48" t="str">
        <f t="shared" si="7"/>
        <v xml:space="preserve"> </v>
      </c>
      <c r="F25" s="48" t="str">
        <f t="shared" si="8"/>
        <v xml:space="preserve"> </v>
      </c>
      <c r="G25" s="56"/>
      <c r="H25" s="56">
        <f>'Data Base'!B198</f>
        <v>5.0615641391614325E-3</v>
      </c>
      <c r="I25" s="56">
        <f t="shared" si="9"/>
        <v>2.5061564139161434E-2</v>
      </c>
      <c r="J25" s="56">
        <f t="shared" si="16"/>
        <v>4.5061564139161431E-2</v>
      </c>
      <c r="K25" s="50">
        <f t="shared" si="10"/>
        <v>141474.75293236825</v>
      </c>
      <c r="L25" s="127">
        <f t="shared" si="11"/>
        <v>1.9945608329998664E-2</v>
      </c>
      <c r="M25" s="56">
        <f t="shared" si="12"/>
        <v>1.8464712851713031E-2</v>
      </c>
      <c r="N25" s="330">
        <f t="shared" si="13"/>
        <v>76510.340468250972</v>
      </c>
      <c r="O25" s="52">
        <f t="shared" si="14"/>
        <v>3216098.49</v>
      </c>
      <c r="P25" s="50">
        <f t="shared" si="0"/>
        <v>268008.20750000002</v>
      </c>
      <c r="Q25" s="50">
        <f t="shared" si="5"/>
        <v>3216098.49</v>
      </c>
      <c r="R25" s="50" t="e">
        <f t="shared" si="15"/>
        <v>#REF!</v>
      </c>
    </row>
    <row r="26" spans="1:18" x14ac:dyDescent="0.2">
      <c r="A26" s="38" t="s">
        <v>218</v>
      </c>
      <c r="C26" s="335">
        <f>'BASE CALC'!D301</f>
        <v>170890.99679999999</v>
      </c>
      <c r="D26" s="127">
        <f t="shared" si="6"/>
        <v>1.0050532206650241E-3</v>
      </c>
      <c r="E26" s="48" t="str">
        <f t="shared" si="7"/>
        <v xml:space="preserve"> </v>
      </c>
      <c r="F26" s="48" t="str">
        <f t="shared" si="8"/>
        <v xml:space="preserve"> </v>
      </c>
      <c r="G26" s="56"/>
      <c r="H26" s="56">
        <f>'Data Base'!B199</f>
        <v>-2.8126297155702685E-2</v>
      </c>
      <c r="I26" s="56">
        <f t="shared" si="9"/>
        <v>0</v>
      </c>
      <c r="J26" s="56">
        <f t="shared" si="16"/>
        <v>0.02</v>
      </c>
      <c r="K26" s="50">
        <f t="shared" si="10"/>
        <v>3417.8199359999999</v>
      </c>
      <c r="L26" s="127">
        <f t="shared" si="11"/>
        <v>4.8185627734233173E-4</v>
      </c>
      <c r="M26" s="56">
        <f t="shared" si="12"/>
        <v>1.0050532206650241E-3</v>
      </c>
      <c r="N26" s="330">
        <f t="shared" si="13"/>
        <v>1848.3762052409777</v>
      </c>
      <c r="O26" s="52">
        <f t="shared" si="14"/>
        <v>172739.37</v>
      </c>
      <c r="P26" s="50">
        <f t="shared" si="0"/>
        <v>14394.9475</v>
      </c>
      <c r="Q26" s="50">
        <f t="shared" si="5"/>
        <v>172739.37</v>
      </c>
      <c r="R26" s="50" t="e">
        <f t="shared" si="15"/>
        <v>#REF!</v>
      </c>
    </row>
    <row r="27" spans="1:18" x14ac:dyDescent="0.2">
      <c r="A27" s="38" t="s">
        <v>73</v>
      </c>
      <c r="C27" s="335">
        <f>'BASE CALC'!D302</f>
        <v>1293717.28048</v>
      </c>
      <c r="D27" s="127">
        <f t="shared" si="6"/>
        <v>7.6086788872684495E-3</v>
      </c>
      <c r="E27" s="48" t="str">
        <f t="shared" si="7"/>
        <v xml:space="preserve"> </v>
      </c>
      <c r="F27" s="48" t="str">
        <f t="shared" si="8"/>
        <v xml:space="preserve"> </v>
      </c>
      <c r="G27" s="56"/>
      <c r="H27" s="56">
        <f>'Data Base'!B200</f>
        <v>1.3880157912384089E-2</v>
      </c>
      <c r="I27" s="56">
        <f t="shared" si="9"/>
        <v>3.3880157912384093E-2</v>
      </c>
      <c r="J27" s="56">
        <f t="shared" si="16"/>
        <v>5.3880157912384097E-2</v>
      </c>
      <c r="K27" s="50">
        <f t="shared" si="10"/>
        <v>69705.691366242507</v>
      </c>
      <c r="L27" s="127">
        <f t="shared" si="11"/>
        <v>9.8273535704811125E-3</v>
      </c>
      <c r="M27" s="56">
        <f t="shared" si="12"/>
        <v>7.6086788872684495E-3</v>
      </c>
      <c r="N27" s="330">
        <f t="shared" si="13"/>
        <v>37697.229141340613</v>
      </c>
      <c r="O27" s="52">
        <f t="shared" si="14"/>
        <v>1331414.51</v>
      </c>
      <c r="P27" s="50">
        <f t="shared" si="0"/>
        <v>110951.20916666667</v>
      </c>
      <c r="Q27" s="50">
        <f t="shared" si="5"/>
        <v>1331414.51</v>
      </c>
      <c r="R27" s="50" t="e">
        <f t="shared" si="15"/>
        <v>#REF!</v>
      </c>
    </row>
    <row r="28" spans="1:18" ht="15" x14ac:dyDescent="0.35">
      <c r="A28" s="38" t="s">
        <v>315</v>
      </c>
      <c r="C28" s="343">
        <f>'BASE CALC'!D303</f>
        <v>5626581.1471199999</v>
      </c>
      <c r="D28" s="125">
        <f t="shared" si="6"/>
        <v>3.3091348339809444E-2</v>
      </c>
      <c r="E28" s="343" t="str">
        <f t="shared" si="7"/>
        <v xml:space="preserve"> </v>
      </c>
      <c r="F28" s="58" t="str">
        <f t="shared" si="8"/>
        <v xml:space="preserve"> </v>
      </c>
      <c r="G28" s="56"/>
      <c r="H28" s="56">
        <f>'Data Base'!B202</f>
        <v>-1.8512205892974505E-3</v>
      </c>
      <c r="I28" s="56">
        <f t="shared" si="9"/>
        <v>0</v>
      </c>
      <c r="J28" s="56">
        <f t="shared" si="16"/>
        <v>0.02</v>
      </c>
      <c r="K28" s="59">
        <f t="shared" si="10"/>
        <v>112531.6229424</v>
      </c>
      <c r="L28" s="125">
        <f t="shared" si="11"/>
        <v>1.5865104051612566E-2</v>
      </c>
      <c r="M28" s="125">
        <f t="shared" si="12"/>
        <v>3.3091348339809444E-2</v>
      </c>
      <c r="N28" s="59">
        <f t="shared" si="13"/>
        <v>60857.733315030287</v>
      </c>
      <c r="O28" s="60">
        <f t="shared" si="14"/>
        <v>5687438.8799999999</v>
      </c>
      <c r="P28" s="59">
        <f t="shared" si="0"/>
        <v>473953.24</v>
      </c>
      <c r="Q28" s="59">
        <f t="shared" si="5"/>
        <v>5687438.8799999999</v>
      </c>
      <c r="R28" s="59" t="e">
        <f t="shared" si="15"/>
        <v>#REF!</v>
      </c>
    </row>
    <row r="29" spans="1:18" x14ac:dyDescent="0.2">
      <c r="C29" s="48"/>
      <c r="E29" s="48"/>
      <c r="F29" s="48"/>
      <c r="L29" s="56"/>
    </row>
    <row r="30" spans="1:18" ht="13.5" thickBot="1" x14ac:dyDescent="0.25">
      <c r="A30" s="64" t="s">
        <v>316</v>
      </c>
      <c r="C30" s="65">
        <f>SUM(C10:C28)</f>
        <v>170236655.47187334</v>
      </c>
      <c r="D30" s="67">
        <f>SUM(D10:D28)</f>
        <v>0.99999999999999978</v>
      </c>
      <c r="E30" s="65">
        <f>SUM(E10:E28)</f>
        <v>0</v>
      </c>
      <c r="F30" s="65">
        <f>SUM(B7-C30)</f>
        <v>3835949.2075845897</v>
      </c>
      <c r="K30" s="65">
        <f>SUM(K10:K28)</f>
        <v>7093027.7277924335</v>
      </c>
      <c r="L30" s="79">
        <f>SUM(L17:L28)</f>
        <v>1.0000000000000004</v>
      </c>
      <c r="M30" s="328">
        <f>SUM(M17:M28)</f>
        <v>0.99999999999999978</v>
      </c>
      <c r="N30" s="65">
        <f>SUM(N10:N28)</f>
        <v>3835949.2075845907</v>
      </c>
      <c r="O30" s="70">
        <f>SUM(O10:O28)</f>
        <v>174072604.67945793</v>
      </c>
      <c r="P30" s="65">
        <f>SUM(P10:P28)</f>
        <v>14506050.389954828</v>
      </c>
      <c r="Q30" s="50">
        <f>SUM(Q10:Q28)</f>
        <v>174072604.67999998</v>
      </c>
      <c r="R30" s="50" t="e">
        <f>SUM(R10:R28)</f>
        <v>#REF!</v>
      </c>
    </row>
    <row r="31" spans="1:18" ht="13.5" thickTop="1" x14ac:dyDescent="0.2">
      <c r="A31" s="71"/>
      <c r="R31" s="50"/>
    </row>
    <row r="33" spans="1:17" ht="25.5" x14ac:dyDescent="0.2">
      <c r="A33" s="129" t="str">
        <f>'CC 2 TIER'!A20</f>
        <v>Please refer to 'NOTES' page (D-43) for information and assumptions.</v>
      </c>
    </row>
    <row r="34" spans="1:17" x14ac:dyDescent="0.2">
      <c r="Q34" s="52">
        <f>B7-Q30</f>
        <v>-5.4204463958740234E-4</v>
      </c>
    </row>
    <row r="36" spans="1:17" x14ac:dyDescent="0.2">
      <c r="C36" s="130">
        <f>SUM(C17:C28)</f>
        <v>170031788.65187335</v>
      </c>
      <c r="E36" s="130"/>
      <c r="F36" s="130"/>
      <c r="J36" s="56">
        <f>SUM(J17:J20)</f>
        <v>0.12857876936844251</v>
      </c>
    </row>
    <row r="38" spans="1:17" x14ac:dyDescent="0.2">
      <c r="C38" s="50">
        <f>B7-C10-C11-C12</f>
        <v>173867737.85945794</v>
      </c>
    </row>
  </sheetData>
  <phoneticPr fontId="0" type="noConversion"/>
  <printOptions horizontalCentered="1" verticalCentered="1"/>
  <pageMargins left="0.75" right="0.75" top="1" bottom="1" header="0.5" footer="0.5"/>
  <pageSetup scale="89" firstPageNumber="40"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3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00000"/>
  </sheetPr>
  <dimension ref="A1:P38"/>
  <sheetViews>
    <sheetView zoomScaleNormal="100" workbookViewId="0">
      <selection activeCell="B7" sqref="B7"/>
    </sheetView>
  </sheetViews>
  <sheetFormatPr defaultColWidth="13" defaultRowHeight="12.75" x14ac:dyDescent="0.2"/>
  <cols>
    <col min="1" max="1" width="38.85546875" style="38" customWidth="1"/>
    <col min="2" max="2" width="14.7109375" style="38" customWidth="1"/>
    <col min="3" max="3" width="13.85546875" style="38" customWidth="1"/>
    <col min="4" max="4" width="12.85546875" style="38" customWidth="1"/>
    <col min="5" max="5" width="13.42578125" style="38" customWidth="1"/>
    <col min="6" max="6" width="13.140625" style="38" customWidth="1"/>
    <col min="7" max="7" width="11.7109375" style="38" customWidth="1"/>
    <col min="8" max="8" width="10.140625" style="38" bestFit="1" customWidth="1"/>
    <col min="9" max="9" width="13" style="38" hidden="1" customWidth="1"/>
    <col min="10" max="10" width="8.7109375" style="38" customWidth="1"/>
    <col min="11" max="11" width="11.85546875" style="38" customWidth="1"/>
    <col min="12" max="12" width="13.7109375" style="38" customWidth="1"/>
    <col min="13" max="13" width="12.85546875" style="38" customWidth="1"/>
    <col min="14" max="14" width="14.28515625" style="38" customWidth="1"/>
    <col min="15" max="15" width="14.5703125" style="39" bestFit="1" customWidth="1"/>
    <col min="16" max="16" width="13.85546875" style="38" bestFit="1" customWidth="1"/>
    <col min="17" max="16384" width="13" style="38"/>
  </cols>
  <sheetData>
    <row r="1" spans="1:16" x14ac:dyDescent="0.2">
      <c r="B1" s="40" t="s">
        <v>23</v>
      </c>
      <c r="C1" s="40" t="s">
        <v>403</v>
      </c>
      <c r="D1" s="40" t="s">
        <v>404</v>
      </c>
      <c r="E1" s="40" t="s">
        <v>24</v>
      </c>
      <c r="F1" s="40" t="s">
        <v>25</v>
      </c>
      <c r="G1" s="40" t="s">
        <v>26</v>
      </c>
      <c r="H1" s="40" t="s">
        <v>27</v>
      </c>
      <c r="I1" s="40"/>
      <c r="J1" s="40" t="s">
        <v>28</v>
      </c>
      <c r="K1" s="40" t="s">
        <v>29</v>
      </c>
      <c r="L1" s="40" t="s">
        <v>30</v>
      </c>
      <c r="M1" s="40" t="s">
        <v>31</v>
      </c>
      <c r="N1" s="40" t="s">
        <v>32</v>
      </c>
      <c r="O1" s="40" t="s">
        <v>33</v>
      </c>
      <c r="P1" s="331" t="s">
        <v>353</v>
      </c>
    </row>
    <row r="2" spans="1:16" x14ac:dyDescent="0.2">
      <c r="B2" s="39"/>
      <c r="G2" s="42"/>
      <c r="H2" s="41" t="s">
        <v>81</v>
      </c>
      <c r="I2" s="42"/>
      <c r="J2" s="39"/>
      <c r="K2" s="41" t="s">
        <v>474</v>
      </c>
      <c r="L2" s="273" t="s">
        <v>519</v>
      </c>
      <c r="M2" s="41" t="s">
        <v>521</v>
      </c>
      <c r="N2" s="41"/>
      <c r="O2" s="41"/>
      <c r="P2" s="41" t="s">
        <v>34</v>
      </c>
    </row>
    <row r="3" spans="1:16" x14ac:dyDescent="0.2">
      <c r="B3" s="41" t="s">
        <v>36</v>
      </c>
      <c r="C3" s="41" t="s">
        <v>554</v>
      </c>
      <c r="D3" s="41" t="s">
        <v>555</v>
      </c>
      <c r="E3" s="41" t="s">
        <v>373</v>
      </c>
      <c r="F3" s="41" t="s">
        <v>43</v>
      </c>
      <c r="G3" s="41" t="s">
        <v>38</v>
      </c>
      <c r="H3" s="41" t="s">
        <v>100</v>
      </c>
      <c r="I3" s="41"/>
      <c r="J3" s="273" t="s">
        <v>519</v>
      </c>
      <c r="K3" s="41" t="s">
        <v>39</v>
      </c>
      <c r="L3" s="273" t="s">
        <v>35</v>
      </c>
      <c r="M3" s="41" t="s">
        <v>35</v>
      </c>
      <c r="N3" s="140"/>
      <c r="O3" s="41" t="s">
        <v>34</v>
      </c>
      <c r="P3" s="41" t="s">
        <v>554</v>
      </c>
    </row>
    <row r="4" spans="1:16" x14ac:dyDescent="0.2">
      <c r="A4" s="39" t="s">
        <v>309</v>
      </c>
      <c r="B4" s="41" t="s">
        <v>41</v>
      </c>
      <c r="C4" s="41" t="s">
        <v>46</v>
      </c>
      <c r="D4" s="41" t="s">
        <v>46</v>
      </c>
      <c r="E4" s="41" t="s">
        <v>46</v>
      </c>
      <c r="F4" s="41" t="s">
        <v>47</v>
      </c>
      <c r="G4" s="41" t="s">
        <v>44</v>
      </c>
      <c r="H4" s="41" t="s">
        <v>44</v>
      </c>
      <c r="I4" s="41"/>
      <c r="J4" s="273" t="s">
        <v>44</v>
      </c>
      <c r="K4" s="41" t="s">
        <v>44</v>
      </c>
      <c r="L4" s="273" t="s">
        <v>37</v>
      </c>
      <c r="M4" s="41" t="s">
        <v>37</v>
      </c>
      <c r="N4" s="43" t="s">
        <v>43</v>
      </c>
      <c r="O4" s="41" t="s">
        <v>554</v>
      </c>
      <c r="P4" s="41" t="s">
        <v>323</v>
      </c>
    </row>
    <row r="5" spans="1:16" x14ac:dyDescent="0.2">
      <c r="A5" s="38" t="s">
        <v>535</v>
      </c>
      <c r="B5" s="44" t="s">
        <v>45</v>
      </c>
      <c r="C5" s="44" t="s">
        <v>47</v>
      </c>
      <c r="D5" s="44" t="s">
        <v>324</v>
      </c>
      <c r="E5" s="44" t="s">
        <v>47</v>
      </c>
      <c r="F5" s="44" t="s">
        <v>374</v>
      </c>
      <c r="G5" s="44" t="s">
        <v>48</v>
      </c>
      <c r="H5" s="44" t="s">
        <v>48</v>
      </c>
      <c r="I5" s="44" t="s">
        <v>345</v>
      </c>
      <c r="J5" s="274" t="s">
        <v>48</v>
      </c>
      <c r="K5" s="44" t="s">
        <v>49</v>
      </c>
      <c r="L5" s="274" t="s">
        <v>42</v>
      </c>
      <c r="M5" s="44" t="s">
        <v>42</v>
      </c>
      <c r="N5" s="45" t="s">
        <v>47</v>
      </c>
      <c r="O5" s="44" t="s">
        <v>47</v>
      </c>
      <c r="P5" s="44" t="s">
        <v>47</v>
      </c>
    </row>
    <row r="6" spans="1:16" x14ac:dyDescent="0.2">
      <c r="G6" s="24"/>
      <c r="H6" s="24"/>
      <c r="I6" s="24"/>
      <c r="N6" s="325"/>
    </row>
    <row r="7" spans="1:16" x14ac:dyDescent="0.2">
      <c r="A7" s="49" t="s">
        <v>50</v>
      </c>
      <c r="B7" s="50">
        <v>174072604.67945793</v>
      </c>
      <c r="C7" s="46"/>
      <c r="E7" s="46"/>
      <c r="F7" s="46"/>
      <c r="G7" s="24"/>
      <c r="H7" s="24"/>
      <c r="I7" s="24"/>
      <c r="N7" s="325"/>
    </row>
    <row r="9" spans="1:16" x14ac:dyDescent="0.2">
      <c r="A9" s="39" t="s">
        <v>320</v>
      </c>
    </row>
    <row r="10" spans="1:16" x14ac:dyDescent="0.2">
      <c r="A10" s="38" t="s">
        <v>310</v>
      </c>
      <c r="C10" s="50">
        <v>131943.92000000001</v>
      </c>
      <c r="E10" s="50" t="s">
        <v>105</v>
      </c>
      <c r="F10" s="50"/>
      <c r="O10" s="52">
        <v>131943.92000000001</v>
      </c>
      <c r="P10" s="50">
        <v>10995.326666666668</v>
      </c>
    </row>
    <row r="11" spans="1:16" x14ac:dyDescent="0.2">
      <c r="A11" s="38" t="s">
        <v>311</v>
      </c>
      <c r="C11" s="50">
        <v>63893.35</v>
      </c>
      <c r="E11" s="50" t="s">
        <v>105</v>
      </c>
      <c r="F11" s="50"/>
      <c r="O11" s="52">
        <v>63893.35</v>
      </c>
      <c r="P11" s="50">
        <v>5324.4458333333332</v>
      </c>
    </row>
    <row r="12" spans="1:16" x14ac:dyDescent="0.2">
      <c r="A12" s="38" t="s">
        <v>312</v>
      </c>
      <c r="C12" s="50">
        <v>9029.5499999999993</v>
      </c>
      <c r="E12" s="50" t="s">
        <v>105</v>
      </c>
      <c r="F12" s="50"/>
      <c r="O12" s="52">
        <v>9029.5499999999993</v>
      </c>
      <c r="P12" s="50">
        <v>752.46249999999998</v>
      </c>
    </row>
    <row r="13" spans="1:16" x14ac:dyDescent="0.2">
      <c r="O13" s="52"/>
      <c r="P13" s="50"/>
    </row>
    <row r="14" spans="1:16" x14ac:dyDescent="0.2">
      <c r="A14" s="39" t="s">
        <v>55</v>
      </c>
      <c r="O14" s="52"/>
      <c r="P14" s="50"/>
    </row>
    <row r="15" spans="1:16" hidden="1" x14ac:dyDescent="0.2">
      <c r="A15" s="38" t="s">
        <v>343</v>
      </c>
      <c r="L15" s="54"/>
      <c r="O15" s="52"/>
      <c r="P15" s="50">
        <v>0</v>
      </c>
    </row>
    <row r="16" spans="1:16" hidden="1" x14ac:dyDescent="0.2">
      <c r="A16" s="38" t="s">
        <v>329</v>
      </c>
      <c r="L16" s="55"/>
      <c r="O16" s="52"/>
      <c r="P16" s="50">
        <v>0</v>
      </c>
    </row>
    <row r="17" spans="1:16" x14ac:dyDescent="0.2">
      <c r="A17" s="38" t="s">
        <v>313</v>
      </c>
      <c r="C17" s="325">
        <v>87215778.647953331</v>
      </c>
      <c r="D17" s="127">
        <v>0.51293807669412184</v>
      </c>
      <c r="E17" s="325" t="s">
        <v>105</v>
      </c>
      <c r="F17" s="325" t="s">
        <v>105</v>
      </c>
      <c r="G17" s="56">
        <v>9.5089045857154764E-3</v>
      </c>
      <c r="H17" s="56">
        <v>1.0488936094299175E-2</v>
      </c>
      <c r="I17" s="56">
        <v>3.9997840680014649E-2</v>
      </c>
      <c r="J17" s="56">
        <v>3.9997840680014649E-2</v>
      </c>
      <c r="K17" s="50">
        <v>3488442.8191442606</v>
      </c>
      <c r="L17" s="127">
        <v>0.49181293983605651</v>
      </c>
      <c r="M17" s="56">
        <v>0.51293807669412184</v>
      </c>
      <c r="N17" s="330">
        <v>1886569.4568439685</v>
      </c>
      <c r="O17" s="52">
        <v>89102348.089457959</v>
      </c>
      <c r="P17" s="50">
        <v>7425195.6741214963</v>
      </c>
    </row>
    <row r="18" spans="1:16" x14ac:dyDescent="0.2">
      <c r="C18" s="325"/>
      <c r="D18" s="127"/>
      <c r="E18" s="325"/>
      <c r="F18" s="325"/>
      <c r="G18" s="56"/>
      <c r="H18" s="56"/>
      <c r="I18" s="56"/>
      <c r="J18" s="56"/>
      <c r="K18" s="50"/>
      <c r="L18" s="56"/>
      <c r="M18" s="56"/>
      <c r="N18" s="50"/>
      <c r="O18" s="52"/>
      <c r="P18" s="50"/>
    </row>
    <row r="19" spans="1:16" x14ac:dyDescent="0.2">
      <c r="A19" s="38" t="s">
        <v>213</v>
      </c>
      <c r="C19" s="325">
        <v>50552705.081840001</v>
      </c>
      <c r="D19" s="127">
        <v>0.29731325820104537</v>
      </c>
      <c r="E19" s="325" t="s">
        <v>105</v>
      </c>
      <c r="F19" s="325" t="s">
        <v>105</v>
      </c>
      <c r="G19" s="56">
        <v>1.5443714627420824E-2</v>
      </c>
      <c r="H19" s="56">
        <v>1.0869027402782722E-2</v>
      </c>
      <c r="I19" s="56">
        <v>4.6312742030203552E-2</v>
      </c>
      <c r="J19" s="56">
        <v>4.6312742030203552E-2</v>
      </c>
      <c r="K19" s="50">
        <v>2341234.3893842162</v>
      </c>
      <c r="L19" s="127">
        <v>0.3300754599070036</v>
      </c>
      <c r="M19" s="56">
        <v>0.29731325820104537</v>
      </c>
      <c r="N19" s="330">
        <v>1266152.6988733895</v>
      </c>
      <c r="O19" s="52">
        <v>51818857.780000001</v>
      </c>
      <c r="P19" s="50">
        <v>4318238.1483333334</v>
      </c>
    </row>
    <row r="20" spans="1:16" x14ac:dyDescent="0.2">
      <c r="A20" s="38" t="s">
        <v>214</v>
      </c>
      <c r="C20" s="325">
        <v>20729806.871519998</v>
      </c>
      <c r="D20" s="127">
        <v>0.12191724286311331</v>
      </c>
      <c r="E20" s="325" t="s">
        <v>105</v>
      </c>
      <c r="F20" s="325" t="s">
        <v>105</v>
      </c>
      <c r="G20" s="56">
        <v>2.6690879994565363E-3</v>
      </c>
      <c r="H20" s="56">
        <v>1.9599098658767765E-2</v>
      </c>
      <c r="I20" s="56">
        <v>4.2268186658224301E-2</v>
      </c>
      <c r="J20" s="56">
        <v>4.2268186658224301E-2</v>
      </c>
      <c r="K20" s="50">
        <v>876211.34623434802</v>
      </c>
      <c r="L20" s="127">
        <v>0.12353135781509933</v>
      </c>
      <c r="M20" s="56">
        <v>0.12191724286311331</v>
      </c>
      <c r="N20" s="330">
        <v>473860.01412267867</v>
      </c>
      <c r="O20" s="52">
        <v>21203666.890000001</v>
      </c>
      <c r="P20" s="50">
        <v>1766972.2408333335</v>
      </c>
    </row>
    <row r="21" spans="1:16" x14ac:dyDescent="0.2">
      <c r="C21" s="325"/>
      <c r="D21" s="127"/>
      <c r="E21" s="325"/>
      <c r="F21" s="325"/>
      <c r="G21" s="56"/>
      <c r="H21" s="56"/>
      <c r="I21" s="56"/>
      <c r="J21" s="56"/>
      <c r="K21" s="50"/>
      <c r="L21" s="56"/>
      <c r="M21" s="56"/>
      <c r="N21" s="50"/>
      <c r="O21" s="52"/>
      <c r="P21" s="50"/>
    </row>
    <row r="22" spans="1:16" x14ac:dyDescent="0.2">
      <c r="A22" s="39" t="s">
        <v>60</v>
      </c>
      <c r="C22" s="325"/>
      <c r="D22" s="127"/>
      <c r="E22" s="325"/>
      <c r="F22" s="325"/>
      <c r="G22" s="56"/>
      <c r="H22" s="56"/>
      <c r="I22" s="56"/>
      <c r="J22" s="56"/>
      <c r="K22" s="50"/>
      <c r="L22" s="56"/>
      <c r="M22" s="56"/>
      <c r="N22" s="50"/>
      <c r="O22" s="52"/>
      <c r="P22" s="50"/>
    </row>
    <row r="23" spans="1:16" x14ac:dyDescent="0.2">
      <c r="A23" s="38" t="s">
        <v>61</v>
      </c>
      <c r="C23" s="325">
        <v>165446.62872000001</v>
      </c>
      <c r="D23" s="127">
        <v>9.7303351350810582E-4</v>
      </c>
      <c r="E23" s="325" t="s">
        <v>105</v>
      </c>
      <c r="F23" s="325" t="s">
        <v>105</v>
      </c>
      <c r="G23" s="56"/>
      <c r="H23" s="56">
        <v>1.0484529767540671E-2</v>
      </c>
      <c r="I23" s="56">
        <v>3.0484529767540673E-2</v>
      </c>
      <c r="J23" s="56">
        <v>5.048452976754067E-2</v>
      </c>
      <c r="K23" s="50">
        <v>8352.4952525540903</v>
      </c>
      <c r="L23" s="127">
        <v>1.1775641620329097E-3</v>
      </c>
      <c r="M23" s="56">
        <v>9.7303351350810582E-4</v>
      </c>
      <c r="N23" s="330">
        <v>4517.0763142301512</v>
      </c>
      <c r="O23" s="52">
        <v>169963.71</v>
      </c>
      <c r="P23" s="50">
        <v>14163.6425</v>
      </c>
    </row>
    <row r="24" spans="1:16" x14ac:dyDescent="0.2">
      <c r="A24" s="38" t="s">
        <v>216</v>
      </c>
      <c r="C24" s="325">
        <v>1137273.8443199999</v>
      </c>
      <c r="D24" s="127">
        <v>6.6885954287552564E-3</v>
      </c>
      <c r="E24" s="325" t="s">
        <v>105</v>
      </c>
      <c r="F24" s="325" t="s">
        <v>105</v>
      </c>
      <c r="G24" s="56"/>
      <c r="H24" s="56">
        <v>5.4215938034974653E-3</v>
      </c>
      <c r="I24" s="56">
        <v>2.5421593803497466E-2</v>
      </c>
      <c r="J24" s="56">
        <v>4.5421593803497466E-2</v>
      </c>
      <c r="K24" s="50">
        <v>51656.790600045053</v>
      </c>
      <c r="L24" s="127">
        <v>7.2827560503731775E-3</v>
      </c>
      <c r="M24" s="56">
        <v>6.6885954287552564E-3</v>
      </c>
      <c r="N24" s="330">
        <v>27936.282300460865</v>
      </c>
      <c r="O24" s="52">
        <v>1165210.1299999999</v>
      </c>
      <c r="P24" s="50">
        <v>97100.844166666662</v>
      </c>
    </row>
    <row r="25" spans="1:16" x14ac:dyDescent="0.2">
      <c r="A25" s="38" t="s">
        <v>314</v>
      </c>
      <c r="C25" s="325">
        <v>3139588.1531199999</v>
      </c>
      <c r="D25" s="127">
        <v>1.8464712851713031E-2</v>
      </c>
      <c r="E25" s="325" t="s">
        <v>105</v>
      </c>
      <c r="F25" s="325" t="s">
        <v>105</v>
      </c>
      <c r="G25" s="56"/>
      <c r="H25" s="56">
        <v>5.0615641391614325E-3</v>
      </c>
      <c r="I25" s="56">
        <v>2.5061564139161434E-2</v>
      </c>
      <c r="J25" s="56">
        <v>4.5061564139161431E-2</v>
      </c>
      <c r="K25" s="50">
        <v>141474.75293236825</v>
      </c>
      <c r="L25" s="127">
        <v>1.9945608329998664E-2</v>
      </c>
      <c r="M25" s="56">
        <v>1.8464712851713031E-2</v>
      </c>
      <c r="N25" s="330">
        <v>76510.340468250972</v>
      </c>
      <c r="O25" s="52">
        <v>3216098.49</v>
      </c>
      <c r="P25" s="50">
        <v>268008.20750000002</v>
      </c>
    </row>
    <row r="26" spans="1:16" x14ac:dyDescent="0.2">
      <c r="A26" s="38" t="s">
        <v>218</v>
      </c>
      <c r="C26" s="335">
        <v>215890.99679999999</v>
      </c>
      <c r="D26" s="127">
        <v>1.2697096143711088E-3</v>
      </c>
      <c r="E26" s="325" t="s">
        <v>105</v>
      </c>
      <c r="F26" s="325" t="s">
        <v>105</v>
      </c>
      <c r="G26" s="56"/>
      <c r="H26" s="56">
        <v>-2.8126297155702685E-2</v>
      </c>
      <c r="I26" s="56">
        <v>0</v>
      </c>
      <c r="J26" s="56">
        <v>0.02</v>
      </c>
      <c r="K26" s="50">
        <v>4317.8199359999999</v>
      </c>
      <c r="L26" s="127">
        <v>6.0874144324596304E-4</v>
      </c>
      <c r="M26" s="56">
        <v>1.2697096143711088E-3</v>
      </c>
      <c r="N26" s="330">
        <v>2335.1012568432516</v>
      </c>
      <c r="O26" s="52">
        <v>218226.1</v>
      </c>
      <c r="P26" s="50">
        <v>18185.508333333335</v>
      </c>
    </row>
    <row r="27" spans="1:16" x14ac:dyDescent="0.2">
      <c r="A27" s="38" t="s">
        <v>73</v>
      </c>
      <c r="C27" s="335">
        <v>1293717.28048</v>
      </c>
      <c r="D27" s="127">
        <v>7.6086788872684495E-3</v>
      </c>
      <c r="E27" s="325" t="s">
        <v>105</v>
      </c>
      <c r="F27" s="325" t="s">
        <v>105</v>
      </c>
      <c r="G27" s="56"/>
      <c r="H27" s="56">
        <v>1.3880157912384089E-2</v>
      </c>
      <c r="I27" s="56">
        <v>3.3880157912384093E-2</v>
      </c>
      <c r="J27" s="56">
        <v>5.3880157912384097E-2</v>
      </c>
      <c r="K27" s="50">
        <v>69705.691366242507</v>
      </c>
      <c r="L27" s="127">
        <v>9.8273535704811125E-3</v>
      </c>
      <c r="M27" s="56">
        <v>7.6086788872684495E-3</v>
      </c>
      <c r="N27" s="330">
        <v>37697.229141340613</v>
      </c>
      <c r="O27" s="52">
        <v>1331414.51</v>
      </c>
      <c r="P27" s="50">
        <v>110951.20916666667</v>
      </c>
    </row>
    <row r="28" spans="1:16" ht="15" x14ac:dyDescent="0.35">
      <c r="A28" s="38" t="s">
        <v>315</v>
      </c>
      <c r="C28" s="343">
        <v>5581581.1471199999</v>
      </c>
      <c r="D28" s="125">
        <v>3.282669194610336E-2</v>
      </c>
      <c r="E28" s="343" t="s">
        <v>105</v>
      </c>
      <c r="F28" s="326" t="s">
        <v>105</v>
      </c>
      <c r="G28" s="56"/>
      <c r="H28" s="56">
        <v>-1.8512205892974505E-3</v>
      </c>
      <c r="I28" s="56">
        <v>0</v>
      </c>
      <c r="J28" s="56">
        <v>0.02</v>
      </c>
      <c r="K28" s="59">
        <v>111631.6229424</v>
      </c>
      <c r="L28" s="125">
        <v>1.5738218885708935E-2</v>
      </c>
      <c r="M28" s="125">
        <v>3.282669194610336E-2</v>
      </c>
      <c r="N28" s="59">
        <v>60371.008263428012</v>
      </c>
      <c r="O28" s="60">
        <v>5641952.1600000001</v>
      </c>
      <c r="P28" s="59">
        <v>470162.68</v>
      </c>
    </row>
    <row r="29" spans="1:16" x14ac:dyDescent="0.2">
      <c r="C29" s="325"/>
      <c r="E29" s="325"/>
      <c r="F29" s="325"/>
      <c r="L29" s="56"/>
    </row>
    <row r="30" spans="1:16" ht="13.5" thickBot="1" x14ac:dyDescent="0.25">
      <c r="A30" s="64" t="s">
        <v>316</v>
      </c>
      <c r="C30" s="65">
        <v>170236655.47187334</v>
      </c>
      <c r="D30" s="327">
        <v>0.99999999999999978</v>
      </c>
      <c r="E30" s="65">
        <v>0</v>
      </c>
      <c r="F30" s="65">
        <v>3835949.2075845897</v>
      </c>
      <c r="K30" s="65">
        <v>7093027.7277924335</v>
      </c>
      <c r="L30" s="328">
        <v>1.0000000000000004</v>
      </c>
      <c r="M30" s="328"/>
      <c r="N30" s="65">
        <v>3835949.2075845911</v>
      </c>
      <c r="O30" s="70">
        <v>174072604.67945793</v>
      </c>
      <c r="P30" s="65">
        <v>14506050.389954828</v>
      </c>
    </row>
    <row r="31" spans="1:16" ht="13.5" thickTop="1" x14ac:dyDescent="0.2">
      <c r="A31" s="71"/>
    </row>
    <row r="32" spans="1:16" ht="63.75" x14ac:dyDescent="0.2">
      <c r="A32" s="351" t="s">
        <v>534</v>
      </c>
    </row>
    <row r="34" spans="1:10" ht="25.5" x14ac:dyDescent="0.2">
      <c r="A34" s="129" t="s">
        <v>536</v>
      </c>
    </row>
    <row r="36" spans="1:10" x14ac:dyDescent="0.2">
      <c r="C36" s="130"/>
      <c r="E36" s="130"/>
      <c r="F36" s="130"/>
      <c r="J36" s="56"/>
    </row>
    <row r="38" spans="1:10" x14ac:dyDescent="0.2">
      <c r="C38" s="50"/>
    </row>
  </sheetData>
  <printOptions horizontalCentered="1" verticalCentered="1"/>
  <pageMargins left="0.75" right="0.75" top="1" bottom="1" header="0.5" footer="0.5"/>
  <pageSetup scale="89" firstPageNumber="40"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33"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26"/>
  <sheetViews>
    <sheetView zoomScaleNormal="100" workbookViewId="0">
      <pane xSplit="1" ySplit="5" topLeftCell="K6" activePane="bottomRight" state="frozen"/>
      <selection activeCell="O21" sqref="O21"/>
      <selection pane="topRight" activeCell="O21" sqref="O21"/>
      <selection pane="bottomLeft" activeCell="O21" sqref="O21"/>
      <selection pane="bottomRight" activeCell="O21" sqref="O21"/>
    </sheetView>
  </sheetViews>
  <sheetFormatPr defaultColWidth="13" defaultRowHeight="12.75" x14ac:dyDescent="0.2"/>
  <cols>
    <col min="1" max="1" width="39" style="38" customWidth="1"/>
    <col min="2" max="2" width="15.42578125" style="38" customWidth="1"/>
    <col min="3" max="3" width="13.85546875" style="38" bestFit="1" customWidth="1"/>
    <col min="4" max="4" width="13" style="38" hidden="1" customWidth="1"/>
    <col min="5" max="5" width="14.42578125" style="38" customWidth="1"/>
    <col min="6" max="6" width="13.85546875" style="38" bestFit="1" customWidth="1"/>
    <col min="7" max="7" width="15" style="38" bestFit="1" customWidth="1"/>
    <col min="8" max="8" width="12.140625" style="38" customWidth="1"/>
    <col min="9" max="9" width="10.140625" style="38" bestFit="1" customWidth="1"/>
    <col min="10" max="10" width="9.28515625" style="38" bestFit="1" customWidth="1"/>
    <col min="11" max="11" width="14.7109375" style="38" bestFit="1" customWidth="1"/>
    <col min="12" max="13" width="13" style="38" customWidth="1"/>
    <col min="14" max="14" width="14.28515625" style="38" customWidth="1"/>
    <col min="15" max="15" width="18.7109375" style="39" bestFit="1" customWidth="1"/>
    <col min="16" max="16" width="13.85546875" style="38" bestFit="1" customWidth="1"/>
    <col min="17" max="17" width="13" style="38" customWidth="1"/>
    <col min="18" max="18" width="14.42578125" style="38" bestFit="1" customWidth="1"/>
    <col min="19" max="16384" width="13" style="38"/>
  </cols>
  <sheetData>
    <row r="1" spans="1:18"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c r="Q1" s="40"/>
    </row>
    <row r="2" spans="1:18" x14ac:dyDescent="0.2">
      <c r="B2" s="39"/>
      <c r="D2" s="41"/>
      <c r="G2" s="39"/>
      <c r="H2" s="42"/>
      <c r="I2" s="42" t="s">
        <v>81</v>
      </c>
      <c r="J2" s="39"/>
      <c r="K2" s="41" t="s">
        <v>474</v>
      </c>
      <c r="M2" s="39"/>
      <c r="N2" s="41"/>
      <c r="O2" s="41"/>
      <c r="P2" s="41" t="s">
        <v>34</v>
      </c>
    </row>
    <row r="3" spans="1:18" x14ac:dyDescent="0.2">
      <c r="B3" s="41" t="s">
        <v>36</v>
      </c>
      <c r="C3" s="41" t="str">
        <f>'CC 2 TIER'!C3</f>
        <v>FY 15-16</v>
      </c>
      <c r="D3" s="41" t="s">
        <v>46</v>
      </c>
      <c r="E3" s="41" t="str">
        <f>'CC 2 TIER'!E3</f>
        <v>% OF FY 16</v>
      </c>
      <c r="F3" s="41" t="s">
        <v>373</v>
      </c>
      <c r="G3" s="41" t="s">
        <v>43</v>
      </c>
      <c r="H3" s="41" t="s">
        <v>38</v>
      </c>
      <c r="I3" s="41" t="s">
        <v>100</v>
      </c>
      <c r="J3" s="273" t="s">
        <v>398</v>
      </c>
      <c r="K3" s="41" t="s">
        <v>39</v>
      </c>
      <c r="L3" s="44" t="s">
        <v>345</v>
      </c>
      <c r="M3" s="41" t="s">
        <v>35</v>
      </c>
      <c r="N3" s="140"/>
      <c r="O3" s="41" t="s">
        <v>34</v>
      </c>
      <c r="P3" s="41" t="str">
        <f>O4</f>
        <v>FY 15-16</v>
      </c>
      <c r="R3" s="119">
        <v>1.1499999999999999</v>
      </c>
    </row>
    <row r="4" spans="1:18" x14ac:dyDescent="0.2">
      <c r="B4" s="41" t="s">
        <v>41</v>
      </c>
      <c r="C4" s="41" t="s">
        <v>46</v>
      </c>
      <c r="D4" s="41" t="s">
        <v>323</v>
      </c>
      <c r="E4" s="41" t="s">
        <v>46</v>
      </c>
      <c r="F4" s="41" t="str">
        <f>C4</f>
        <v>BASE</v>
      </c>
      <c r="G4" s="41" t="s">
        <v>47</v>
      </c>
      <c r="H4" s="41" t="s">
        <v>44</v>
      </c>
      <c r="I4" s="41" t="s">
        <v>44</v>
      </c>
      <c r="J4" s="273" t="s">
        <v>44</v>
      </c>
      <c r="K4" s="41" t="s">
        <v>44</v>
      </c>
      <c r="M4" s="41" t="s">
        <v>37</v>
      </c>
      <c r="N4" s="43" t="s">
        <v>43</v>
      </c>
      <c r="O4" s="41" t="str">
        <f>'CC 2 TIER'!O4</f>
        <v>FY 15-16</v>
      </c>
      <c r="P4" s="41" t="s">
        <v>323</v>
      </c>
      <c r="Q4" s="44"/>
      <c r="R4" s="41" t="s">
        <v>364</v>
      </c>
    </row>
    <row r="5" spans="1:18" x14ac:dyDescent="0.2">
      <c r="A5" s="39" t="s">
        <v>317</v>
      </c>
      <c r="B5" s="44" t="s">
        <v>45</v>
      </c>
      <c r="C5" s="44" t="s">
        <v>47</v>
      </c>
      <c r="D5" s="44" t="s">
        <v>324</v>
      </c>
      <c r="E5" s="44" t="s">
        <v>324</v>
      </c>
      <c r="F5" s="44" t="s">
        <v>47</v>
      </c>
      <c r="G5" s="44" t="s">
        <v>374</v>
      </c>
      <c r="H5" s="44" t="s">
        <v>48</v>
      </c>
      <c r="I5" s="44" t="s">
        <v>48</v>
      </c>
      <c r="J5" s="274" t="s">
        <v>48</v>
      </c>
      <c r="K5" s="44" t="s">
        <v>49</v>
      </c>
      <c r="M5" s="44" t="s">
        <v>42</v>
      </c>
      <c r="N5" s="45" t="s">
        <v>47</v>
      </c>
      <c r="O5" s="44" t="s">
        <v>47</v>
      </c>
      <c r="P5" s="44" t="s">
        <v>47</v>
      </c>
      <c r="Q5" s="44" t="s">
        <v>382</v>
      </c>
      <c r="R5" s="44" t="s">
        <v>5</v>
      </c>
    </row>
    <row r="6" spans="1:18" x14ac:dyDescent="0.2">
      <c r="D6" s="46"/>
      <c r="H6" s="26"/>
      <c r="I6" s="21"/>
    </row>
    <row r="7" spans="1:18" x14ac:dyDescent="0.2">
      <c r="A7" s="49" t="s">
        <v>50</v>
      </c>
      <c r="B7" s="75">
        <f>'REV SUMMARY'!H22</f>
        <v>4745247.966182447</v>
      </c>
      <c r="H7" s="26"/>
      <c r="I7" s="21"/>
      <c r="R7" s="52" t="e">
        <f>IF('REV SUMMARY'!#REF!&lt;0,'REV SUMMARY'!#REF!*-1,0)</f>
        <v>#REF!</v>
      </c>
    </row>
    <row r="8" spans="1:18" x14ac:dyDescent="0.2">
      <c r="D8" s="50"/>
    </row>
    <row r="9" spans="1:18" x14ac:dyDescent="0.2">
      <c r="A9" s="39" t="s">
        <v>55</v>
      </c>
    </row>
    <row r="10" spans="1:18" hidden="1" x14ac:dyDescent="0.2">
      <c r="A10" s="38" t="s">
        <v>344</v>
      </c>
      <c r="L10" s="54">
        <f>SUM(L11:L12)</f>
        <v>0.69097348104476697</v>
      </c>
      <c r="M10" s="54"/>
    </row>
    <row r="11" spans="1:18" hidden="1" x14ac:dyDescent="0.2">
      <c r="A11" s="38" t="s">
        <v>329</v>
      </c>
      <c r="L11" s="55">
        <f>IF(L23&lt;&gt;1,1-L23,0)</f>
        <v>0</v>
      </c>
      <c r="M11" s="55"/>
    </row>
    <row r="12" spans="1:18" x14ac:dyDescent="0.2">
      <c r="A12" s="38" t="s">
        <v>318</v>
      </c>
      <c r="C12" s="48">
        <f>'BASE CALC'!D311</f>
        <v>3155452.7788814898</v>
      </c>
      <c r="D12" s="48">
        <f>SUM(C12/12)</f>
        <v>262954.39824012417</v>
      </c>
      <c r="E12" s="127">
        <f>C12/$C$23</f>
        <v>0.66781467892413526</v>
      </c>
      <c r="F12" s="48" t="str">
        <f>IF($G$23&lt;0,$B$7*E12," ")</f>
        <v xml:space="preserve"> </v>
      </c>
      <c r="G12" s="48" t="str">
        <f>IF($G$23&lt;0,F12-C12," ")</f>
        <v xml:space="preserve"> </v>
      </c>
      <c r="H12" s="56">
        <f>Population!AP197</f>
        <v>1.3364943744274327E-2</v>
      </c>
      <c r="I12" s="56">
        <f>'Data Base'!B207</f>
        <v>0.14678130329825601</v>
      </c>
      <c r="J12" s="56">
        <f>(H12+I12)+1</f>
        <v>1.1601462470425303</v>
      </c>
      <c r="K12" s="50">
        <f>C12*J12</f>
        <v>3660786.6991392835</v>
      </c>
      <c r="L12" s="56">
        <f>SUM(K12/K$23)</f>
        <v>0.69097348104476697</v>
      </c>
      <c r="M12" s="127">
        <f>L10</f>
        <v>0.69097348104476697</v>
      </c>
      <c r="N12" s="50">
        <f>IF($G$23&gt;0,$G$23*M12," ")</f>
        <v>13961.401116170771</v>
      </c>
      <c r="O12" s="52">
        <f>Q12+Q26</f>
        <v>3169414.1761824456</v>
      </c>
      <c r="P12" s="50">
        <f>O12/12</f>
        <v>264117.84801520378</v>
      </c>
      <c r="Q12" s="52">
        <f>ROUND(IF($G$23&gt;0,C12+N12,F12),2)</f>
        <v>3169414.18</v>
      </c>
      <c r="R12" s="50" t="e">
        <f>$R$7*M12</f>
        <v>#REF!</v>
      </c>
    </row>
    <row r="13" spans="1:18" x14ac:dyDescent="0.2">
      <c r="C13" s="48"/>
      <c r="D13" s="48"/>
      <c r="E13" s="127"/>
      <c r="F13" s="48"/>
      <c r="G13" s="48"/>
      <c r="H13" s="56"/>
      <c r="I13" s="56"/>
      <c r="J13" s="56"/>
      <c r="K13" s="50"/>
      <c r="L13" s="56"/>
      <c r="M13" s="56"/>
      <c r="N13" s="50"/>
      <c r="O13" s="52"/>
      <c r="P13" s="50"/>
    </row>
    <row r="14" spans="1:18" x14ac:dyDescent="0.2">
      <c r="A14" s="38" t="s">
        <v>224</v>
      </c>
      <c r="C14" s="48">
        <f>'BASE CALC'!D313</f>
        <v>1095828.7151200001</v>
      </c>
      <c r="D14" s="48"/>
      <c r="E14" s="127">
        <f t="shared" ref="E14:E21" si="0">C14/$C$23</f>
        <v>0.23191933228774689</v>
      </c>
      <c r="F14" s="48" t="str">
        <f>IF($G$23&lt;0,$B$7*E14," ")</f>
        <v xml:space="preserve"> </v>
      </c>
      <c r="G14" s="48" t="str">
        <f t="shared" ref="G14:G21" si="1">IF($G$23&lt;0,F14-C14," ")</f>
        <v xml:space="preserve"> </v>
      </c>
      <c r="H14" s="56">
        <f>Population!AP198</f>
        <v>-5.7694703857881016E-3</v>
      </c>
      <c r="I14" s="56">
        <f>'Data Base'!B208</f>
        <v>1.1054497026396574E-2</v>
      </c>
      <c r="J14" s="56">
        <f t="shared" ref="J14:J21" si="2">(H14+I14)+1</f>
        <v>1.0052850266406084</v>
      </c>
      <c r="K14" s="50">
        <f>C14*J14</f>
        <v>1101620.1990729528</v>
      </c>
      <c r="L14" s="56">
        <f>SUM(K14/K$23)</f>
        <v>0.20793081004190625</v>
      </c>
      <c r="M14" s="127">
        <f>SUM(L14/L$23)</f>
        <v>0.20793081004190625</v>
      </c>
      <c r="N14" s="50">
        <f>IF($G$23&gt;0,$G$23*M14," ")</f>
        <v>4201.3268570248965</v>
      </c>
      <c r="O14" s="52">
        <f>ROUND(IF($G$23&gt;0,C14+N14,F14),2)</f>
        <v>1100030.04</v>
      </c>
      <c r="P14" s="50">
        <f t="shared" ref="P14:P21" si="3">O14/12</f>
        <v>91669.17</v>
      </c>
      <c r="Q14" s="50">
        <f>O14</f>
        <v>1100030.04</v>
      </c>
      <c r="R14" s="50" t="e">
        <f>$R$7*M14</f>
        <v>#REF!</v>
      </c>
    </row>
    <row r="15" spans="1:18" x14ac:dyDescent="0.2">
      <c r="C15" s="48"/>
      <c r="D15" s="48">
        <f>SUM(C15/12)</f>
        <v>0</v>
      </c>
      <c r="E15" s="127"/>
      <c r="F15" s="48"/>
      <c r="G15" s="48"/>
      <c r="H15" s="56"/>
      <c r="I15" s="56"/>
      <c r="J15" s="56"/>
      <c r="K15" s="50"/>
      <c r="L15" s="56"/>
      <c r="M15" s="56"/>
      <c r="N15" s="50"/>
      <c r="O15" s="52"/>
      <c r="P15" s="50"/>
      <c r="Q15" s="50"/>
    </row>
    <row r="16" spans="1:18" x14ac:dyDescent="0.2">
      <c r="A16" s="38" t="s">
        <v>225</v>
      </c>
      <c r="C16" s="48">
        <f>'BASE CALC'!D315</f>
        <v>16006.05384</v>
      </c>
      <c r="D16" s="48"/>
      <c r="E16" s="127">
        <f t="shared" si="0"/>
        <v>3.3874941110007576E-3</v>
      </c>
      <c r="F16" s="48" t="str">
        <f>IF($G$23&lt;0,$B$7*E16," ")</f>
        <v xml:space="preserve"> </v>
      </c>
      <c r="G16" s="48" t="str">
        <f t="shared" si="1"/>
        <v xml:space="preserve"> </v>
      </c>
      <c r="H16" s="56">
        <f>Population!AP199</f>
        <v>5.9014222509393963E-2</v>
      </c>
      <c r="I16" s="56">
        <f>'Data Base'!B209</f>
        <v>6.623488190463224E-2</v>
      </c>
      <c r="J16" s="56">
        <f t="shared" si="2"/>
        <v>1.1252491044140263</v>
      </c>
      <c r="K16" s="50">
        <f>C16*J16</f>
        <v>18010.797748662688</v>
      </c>
      <c r="L16" s="56">
        <f t="shared" ref="L16:M18" si="4">SUM(K16/K$23)</f>
        <v>3.3995380336452673E-3</v>
      </c>
      <c r="M16" s="127">
        <f t="shared" si="4"/>
        <v>3.3995380336452673E-3</v>
      </c>
      <c r="N16" s="50">
        <f>IF($G$23&gt;0,$G$23*M16," ")</f>
        <v>68.68905305256574</v>
      </c>
      <c r="O16" s="52">
        <f>ROUND(IF($G$23&gt;0,C16+N16,F16),2)</f>
        <v>16074.74</v>
      </c>
      <c r="P16" s="50">
        <f t="shared" si="3"/>
        <v>1339.5616666666667</v>
      </c>
      <c r="Q16" s="50">
        <f t="shared" ref="Q16:Q21" si="5">O16</f>
        <v>16074.74</v>
      </c>
      <c r="R16" s="50" t="e">
        <f>$R$7*M16</f>
        <v>#REF!</v>
      </c>
    </row>
    <row r="17" spans="1:18" x14ac:dyDescent="0.2">
      <c r="A17" s="38" t="s">
        <v>226</v>
      </c>
      <c r="C17" s="48">
        <f>'BASE CALC'!D316</f>
        <v>54810.578719999998</v>
      </c>
      <c r="D17" s="48"/>
      <c r="E17" s="127">
        <f t="shared" si="0"/>
        <v>1.1600017998848829E-2</v>
      </c>
      <c r="F17" s="48" t="str">
        <f>IF($G$23&lt;0,$B$7*E17," ")</f>
        <v xml:space="preserve"> </v>
      </c>
      <c r="G17" s="48" t="str">
        <f t="shared" si="1"/>
        <v xml:space="preserve"> </v>
      </c>
      <c r="H17" s="56">
        <f>Population!AP200</f>
        <v>1.6897579236820608E-2</v>
      </c>
      <c r="I17" s="56">
        <f>'Data Base'!B210</f>
        <v>3.6544942079785522E-2</v>
      </c>
      <c r="J17" s="56">
        <f t="shared" si="2"/>
        <v>1.0534425213166061</v>
      </c>
      <c r="K17" s="50">
        <f>C17*J17</f>
        <v>57739.794241619114</v>
      </c>
      <c r="L17" s="56">
        <f t="shared" si="4"/>
        <v>1.0898386030336204E-2</v>
      </c>
      <c r="M17" s="127">
        <f t="shared" si="4"/>
        <v>1.0898386030336204E-2</v>
      </c>
      <c r="N17" s="50">
        <f>IF($G$23&gt;0,$G$23*M17," ")</f>
        <v>220.2063365128449</v>
      </c>
      <c r="O17" s="52">
        <f>ROUND(IF($G$23&gt;0,C17+N17,F17),2)</f>
        <v>55030.79</v>
      </c>
      <c r="P17" s="50">
        <f t="shared" si="3"/>
        <v>4585.899166666667</v>
      </c>
      <c r="Q17" s="50">
        <f t="shared" si="5"/>
        <v>55030.79</v>
      </c>
      <c r="R17" s="50" t="e">
        <f>$R$7*M17</f>
        <v>#REF!</v>
      </c>
    </row>
    <row r="18" spans="1:18" x14ac:dyDescent="0.2">
      <c r="A18" s="38" t="s">
        <v>227</v>
      </c>
      <c r="C18" s="48">
        <f>'BASE CALC'!D317</f>
        <v>18980.403999999999</v>
      </c>
      <c r="D18" s="48">
        <f>SUM(C18/12)</f>
        <v>1581.7003333333332</v>
      </c>
      <c r="E18" s="127">
        <f t="shared" si="0"/>
        <v>4.016980538559479E-3</v>
      </c>
      <c r="F18" s="48" t="str">
        <f>IF($G$23&lt;0,$B$7*E18," ")</f>
        <v xml:space="preserve"> </v>
      </c>
      <c r="G18" s="48" t="str">
        <f t="shared" si="1"/>
        <v xml:space="preserve"> </v>
      </c>
      <c r="H18" s="56">
        <f>Population!AP201</f>
        <v>1.3979347469324147E-2</v>
      </c>
      <c r="I18" s="56">
        <f>'Data Base'!B211</f>
        <v>1.513738696774351E-2</v>
      </c>
      <c r="J18" s="56">
        <f t="shared" si="2"/>
        <v>1.0291167344370677</v>
      </c>
      <c r="K18" s="50">
        <f>C18*J18</f>
        <v>19533.051382776259</v>
      </c>
      <c r="L18" s="56">
        <f t="shared" si="4"/>
        <v>3.6868634035838676E-3</v>
      </c>
      <c r="M18" s="127">
        <f t="shared" si="4"/>
        <v>3.6868634035838676E-3</v>
      </c>
      <c r="N18" s="50">
        <f>IF($G$23&gt;0,$G$23*M18," ")</f>
        <v>74.494579386947677</v>
      </c>
      <c r="O18" s="52">
        <f>ROUND(IF($G$23&gt;0,C18+N18,F18),2)</f>
        <v>19054.900000000001</v>
      </c>
      <c r="P18" s="50">
        <f t="shared" si="3"/>
        <v>1587.9083333333335</v>
      </c>
      <c r="Q18" s="50">
        <f t="shared" si="5"/>
        <v>19054.900000000001</v>
      </c>
      <c r="R18" s="50" t="e">
        <f>$R$7*M18</f>
        <v>#REF!</v>
      </c>
    </row>
    <row r="19" spans="1:18" ht="15" x14ac:dyDescent="0.35">
      <c r="C19" s="48"/>
      <c r="D19" s="58">
        <f>SUM(C19/12)</f>
        <v>0</v>
      </c>
      <c r="E19" s="127"/>
      <c r="F19" s="48"/>
      <c r="G19" s="48"/>
      <c r="I19" s="56"/>
      <c r="J19" s="56"/>
      <c r="K19" s="50"/>
      <c r="L19" s="56"/>
      <c r="M19" s="56"/>
      <c r="N19" s="50"/>
      <c r="O19" s="52"/>
      <c r="P19" s="50"/>
      <c r="Q19" s="50"/>
    </row>
    <row r="20" spans="1:18" x14ac:dyDescent="0.2">
      <c r="A20" s="39" t="s">
        <v>60</v>
      </c>
      <c r="C20" s="48"/>
      <c r="E20" s="127"/>
      <c r="F20" s="48"/>
      <c r="G20" s="48"/>
      <c r="I20" s="56"/>
      <c r="J20" s="56"/>
      <c r="K20" s="50"/>
      <c r="L20" s="56"/>
      <c r="M20" s="56"/>
      <c r="N20" s="50"/>
      <c r="O20" s="52"/>
      <c r="P20" s="50"/>
      <c r="Q20" s="50"/>
    </row>
    <row r="21" spans="1:18" ht="15" x14ac:dyDescent="0.35">
      <c r="A21" s="38" t="s">
        <v>319</v>
      </c>
      <c r="C21" s="59">
        <f>'BASE CALC'!D320</f>
        <v>383964.02759999997</v>
      </c>
      <c r="E21" s="125">
        <f t="shared" si="0"/>
        <v>8.1261496139708858E-2</v>
      </c>
      <c r="F21" s="58" t="str">
        <f>IF($G$23&lt;0,$B$7*E21," ")</f>
        <v xml:space="preserve"> </v>
      </c>
      <c r="G21" s="58" t="str">
        <f t="shared" si="1"/>
        <v xml:space="preserve"> </v>
      </c>
      <c r="I21" s="56">
        <f>'Data Base'!B212</f>
        <v>0.14678130329825601</v>
      </c>
      <c r="J21" s="56">
        <f t="shared" si="2"/>
        <v>1.1467813032982561</v>
      </c>
      <c r="K21" s="59">
        <f>C21*J21</f>
        <v>440322.76799077552</v>
      </c>
      <c r="L21" s="82">
        <f>SUM(K21/K$23)</f>
        <v>8.3110921445761474E-2</v>
      </c>
      <c r="M21" s="125">
        <f>SUM(L21/L$23)</f>
        <v>8.3110921445761474E-2</v>
      </c>
      <c r="N21" s="59">
        <f>IF($G$23&gt;0,$G$23*M21," ")</f>
        <v>1679.2900788093471</v>
      </c>
      <c r="O21" s="60">
        <f>ROUND(IF($G$23&gt;0,C21+N21,F21),2)</f>
        <v>385643.32</v>
      </c>
      <c r="P21" s="59">
        <f t="shared" si="3"/>
        <v>32136.943333333333</v>
      </c>
      <c r="Q21" s="59">
        <f t="shared" si="5"/>
        <v>385643.32</v>
      </c>
      <c r="R21" s="50" t="e">
        <f>$R$7*M21</f>
        <v>#REF!</v>
      </c>
    </row>
    <row r="22" spans="1:18" x14ac:dyDescent="0.2">
      <c r="C22" s="48"/>
    </row>
    <row r="23" spans="1:18" ht="13.5" thickBot="1" x14ac:dyDescent="0.25">
      <c r="A23" s="64" t="s">
        <v>351</v>
      </c>
      <c r="C23" s="65">
        <f>SUM(C12:C22)</f>
        <v>4725042.5581614897</v>
      </c>
      <c r="D23" s="77"/>
      <c r="E23" s="78">
        <f>SUM(E12:E21)</f>
        <v>1</v>
      </c>
      <c r="F23" s="65">
        <f>SUM(F12:F21)</f>
        <v>0</v>
      </c>
      <c r="G23" s="68">
        <f>SUM(B7-C23)</f>
        <v>20205.408020957373</v>
      </c>
      <c r="K23" s="68">
        <f t="shared" ref="K23:P23" si="6">SUM(K12:K21)</f>
        <v>5298013.3095760699</v>
      </c>
      <c r="L23" s="78">
        <f t="shared" si="6"/>
        <v>1</v>
      </c>
      <c r="M23" s="78">
        <f t="shared" si="6"/>
        <v>1</v>
      </c>
      <c r="N23" s="68">
        <f>SUM(N12:N21)</f>
        <v>20205.408020957373</v>
      </c>
      <c r="O23" s="100">
        <f t="shared" si="6"/>
        <v>4745247.966182447</v>
      </c>
      <c r="P23" s="68">
        <f t="shared" si="6"/>
        <v>395437.33051520376</v>
      </c>
      <c r="Q23" s="50">
        <f>SUM(Q12:Q21)</f>
        <v>4745247.9700000016</v>
      </c>
      <c r="R23" s="50" t="e">
        <f>$R$7*M23</f>
        <v>#REF!</v>
      </c>
    </row>
    <row r="24" spans="1:18" ht="13.5" thickTop="1" x14ac:dyDescent="0.2">
      <c r="A24" s="71"/>
    </row>
    <row r="25" spans="1:18" ht="25.5" x14ac:dyDescent="0.2">
      <c r="A25" s="129" t="str">
        <f>'CC 2 TIER'!A20</f>
        <v>Please refer to 'NOTES' page (D-43) for information and assumptions.</v>
      </c>
    </row>
    <row r="26" spans="1:18" x14ac:dyDescent="0.2">
      <c r="Q26" s="52">
        <f>B7-Q23</f>
        <v>-3.8175545632839203E-3</v>
      </c>
    </row>
  </sheetData>
  <phoneticPr fontId="41" type="noConversion"/>
  <printOptions horizontalCentered="1" verticalCentered="1"/>
  <pageMargins left="0.75" right="0.75" top="1" bottom="1" header="0.5" footer="0.5"/>
  <pageSetup scale="85" firstPageNumber="42" fitToWidth="2"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8" max="24" man="1"/>
  </col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M30"/>
  <sheetViews>
    <sheetView zoomScaleNormal="100" workbookViewId="0">
      <selection activeCell="E23" sqref="E23"/>
    </sheetView>
  </sheetViews>
  <sheetFormatPr defaultRowHeight="12.75" x14ac:dyDescent="0.2"/>
  <cols>
    <col min="1" max="1" width="41.85546875" style="38" customWidth="1"/>
    <col min="2" max="2" width="17.7109375" style="38" customWidth="1"/>
    <col min="3" max="5" width="17.7109375" customWidth="1"/>
  </cols>
  <sheetData>
    <row r="1" spans="1:5" x14ac:dyDescent="0.2">
      <c r="B1" s="40"/>
    </row>
    <row r="2" spans="1:5" x14ac:dyDescent="0.2">
      <c r="B2" s="39"/>
      <c r="D2" s="41"/>
      <c r="E2" s="41" t="s">
        <v>34</v>
      </c>
    </row>
    <row r="3" spans="1:5" x14ac:dyDescent="0.2">
      <c r="B3" s="41" t="s">
        <v>36</v>
      </c>
      <c r="C3" s="41" t="s">
        <v>483</v>
      </c>
      <c r="D3" s="41" t="s">
        <v>34</v>
      </c>
      <c r="E3" s="41" t="s">
        <v>554</v>
      </c>
    </row>
    <row r="4" spans="1:5" x14ac:dyDescent="0.2">
      <c r="B4" s="41" t="s">
        <v>41</v>
      </c>
      <c r="C4" s="41" t="s">
        <v>484</v>
      </c>
      <c r="D4" s="41" t="s">
        <v>554</v>
      </c>
      <c r="E4" s="41" t="s">
        <v>323</v>
      </c>
    </row>
    <row r="5" spans="1:5" x14ac:dyDescent="0.2">
      <c r="A5" s="39" t="s">
        <v>317</v>
      </c>
      <c r="B5" s="44" t="s">
        <v>45</v>
      </c>
      <c r="C5" s="44" t="s">
        <v>47</v>
      </c>
      <c r="D5" s="44" t="s">
        <v>47</v>
      </c>
      <c r="E5" s="44" t="s">
        <v>47</v>
      </c>
    </row>
    <row r="7" spans="1:5" x14ac:dyDescent="0.2">
      <c r="A7" s="49" t="s">
        <v>50</v>
      </c>
      <c r="B7" s="75">
        <v>4745247.966182447</v>
      </c>
    </row>
    <row r="9" spans="1:5" x14ac:dyDescent="0.2">
      <c r="A9" s="39" t="s">
        <v>55</v>
      </c>
    </row>
    <row r="10" spans="1:5" hidden="1" x14ac:dyDescent="0.2">
      <c r="A10" s="38" t="s">
        <v>344</v>
      </c>
    </row>
    <row r="11" spans="1:5" hidden="1" x14ac:dyDescent="0.2">
      <c r="A11" s="38" t="s">
        <v>329</v>
      </c>
    </row>
    <row r="12" spans="1:5" x14ac:dyDescent="0.2">
      <c r="A12" s="38" t="s">
        <v>318</v>
      </c>
      <c r="C12" s="56">
        <v>0.62890000000000001</v>
      </c>
      <c r="D12" s="50">
        <v>2984286.445932141</v>
      </c>
      <c r="E12" s="50">
        <v>248690.53716101174</v>
      </c>
    </row>
    <row r="13" spans="1:5" x14ac:dyDescent="0.2">
      <c r="C13" s="56"/>
      <c r="D13" s="50"/>
      <c r="E13" s="50"/>
    </row>
    <row r="14" spans="1:5" x14ac:dyDescent="0.2">
      <c r="A14" s="38" t="s">
        <v>224</v>
      </c>
      <c r="C14" s="56">
        <v>0.26450000000000001</v>
      </c>
      <c r="D14" s="50">
        <v>1255118.0870552573</v>
      </c>
      <c r="E14" s="50">
        <v>104593.17392127145</v>
      </c>
    </row>
    <row r="15" spans="1:5" x14ac:dyDescent="0.2">
      <c r="C15" s="56"/>
      <c r="D15" s="50"/>
      <c r="E15" s="50"/>
    </row>
    <row r="16" spans="1:5" x14ac:dyDescent="0.2">
      <c r="A16" s="38" t="s">
        <v>225</v>
      </c>
      <c r="C16" s="56">
        <v>3.3E-3</v>
      </c>
      <c r="D16" s="50">
        <v>15659.318288402075</v>
      </c>
      <c r="E16" s="50">
        <v>1304.9431907001729</v>
      </c>
    </row>
    <row r="17" spans="1:13" x14ac:dyDescent="0.2">
      <c r="A17" s="38" t="s">
        <v>226</v>
      </c>
      <c r="C17" s="56">
        <v>1.9599999999999999E-2</v>
      </c>
      <c r="D17" s="50">
        <v>93006.860137175958</v>
      </c>
      <c r="E17" s="50">
        <v>7750.5716780979965</v>
      </c>
    </row>
    <row r="18" spans="1:13" x14ac:dyDescent="0.2">
      <c r="A18" s="38" t="s">
        <v>227</v>
      </c>
      <c r="C18" s="56">
        <v>9.4999999999999998E-3</v>
      </c>
      <c r="D18" s="50">
        <v>45079.855678733249</v>
      </c>
      <c r="E18" s="50">
        <v>3756.6546398944374</v>
      </c>
    </row>
    <row r="19" spans="1:13" x14ac:dyDescent="0.2">
      <c r="C19" s="56"/>
      <c r="D19" s="50"/>
      <c r="E19" s="50"/>
    </row>
    <row r="20" spans="1:13" x14ac:dyDescent="0.2">
      <c r="A20" s="39"/>
      <c r="C20" s="56"/>
      <c r="D20" s="50"/>
      <c r="E20" s="50"/>
    </row>
    <row r="21" spans="1:13" ht="15" x14ac:dyDescent="0.35">
      <c r="A21" s="38" t="s">
        <v>319</v>
      </c>
      <c r="C21" s="125">
        <v>7.4200000000000002E-2</v>
      </c>
      <c r="D21" s="58">
        <v>352097.39909073757</v>
      </c>
      <c r="E21" s="58">
        <v>29341.449924228131</v>
      </c>
    </row>
    <row r="22" spans="1:13" x14ac:dyDescent="0.2">
      <c r="C22" s="56"/>
      <c r="D22" s="50"/>
    </row>
    <row r="23" spans="1:13" ht="13.5" thickBot="1" x14ac:dyDescent="0.25">
      <c r="A23" s="64" t="s">
        <v>351</v>
      </c>
      <c r="C23" s="78">
        <v>0.99999999999999989</v>
      </c>
      <c r="D23" s="68">
        <v>4745247.9661824461</v>
      </c>
      <c r="E23" s="68">
        <v>395437.33051520394</v>
      </c>
    </row>
    <row r="24" spans="1:13" ht="13.5" thickTop="1" x14ac:dyDescent="0.2">
      <c r="A24" s="71"/>
      <c r="D24" s="50"/>
    </row>
    <row r="27" spans="1:13" s="38" customFormat="1" x14ac:dyDescent="0.2">
      <c r="A27" s="237" t="s">
        <v>485</v>
      </c>
      <c r="B27" s="237"/>
      <c r="C27" s="237"/>
      <c r="D27" s="237"/>
      <c r="E27" s="237"/>
      <c r="F27" s="237"/>
      <c r="G27" s="237"/>
      <c r="H27" s="237"/>
      <c r="I27" s="237"/>
      <c r="J27" s="237"/>
      <c r="K27" s="237"/>
      <c r="L27" s="237"/>
      <c r="M27" s="237"/>
    </row>
    <row r="30" spans="1:13" ht="25.5" x14ac:dyDescent="0.2">
      <c r="A30" s="129" t="s">
        <v>536</v>
      </c>
    </row>
  </sheetData>
  <phoneticPr fontId="0" type="noConversion"/>
  <printOptions horizontalCentered="1" verticalCentered="1"/>
  <pageMargins left="0.75" right="0.75" top="1" bottom="1" header="0.5" footer="0.5"/>
  <pageSetup firstPageNumber="42" orientation="landscape" useFirstPageNumber="1" r:id="rId1"/>
  <headerFooter alignWithMargins="0">
    <oddHeader>&amp;CFINAL ESTIMATE - FISCAL YEAR 2015-16
NRS 360.600 through NRS 360.740</oddHeader>
    <oddFooter>&amp;LADMINISTRATIVE SERVICES DIVISION, 3/15/15
&amp;RD-&amp;P</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V26"/>
  <sheetViews>
    <sheetView workbookViewId="0"/>
  </sheetViews>
  <sheetFormatPr defaultColWidth="13" defaultRowHeight="12.75" x14ac:dyDescent="0.2"/>
  <cols>
    <col min="1" max="1" width="41.85546875" style="38" bestFit="1" customWidth="1"/>
    <col min="2" max="2" width="15.42578125" style="38" customWidth="1"/>
    <col min="3" max="3" width="13.85546875" style="38" bestFit="1" customWidth="1"/>
    <col min="4" max="4" width="13" style="38" hidden="1" customWidth="1"/>
    <col min="5" max="5" width="14.42578125" style="38" customWidth="1"/>
    <col min="6" max="6" width="13.85546875" style="38" bestFit="1" customWidth="1"/>
    <col min="7" max="7" width="15" style="38" bestFit="1" customWidth="1"/>
    <col min="8" max="11" width="13" style="38" customWidth="1"/>
    <col min="12" max="12" width="13" style="38" hidden="1" customWidth="1"/>
    <col min="13" max="13" width="14" style="38" customWidth="1"/>
    <col min="14" max="15" width="13" style="38" customWidth="1"/>
    <col min="16" max="16" width="13" style="38" hidden="1" customWidth="1"/>
    <col min="17" max="17" width="14" style="38" customWidth="1"/>
    <col min="18" max="18" width="15" style="38" bestFit="1" customWidth="1"/>
    <col min="19" max="19" width="13.85546875" style="39" bestFit="1" customWidth="1"/>
    <col min="20" max="20" width="13.85546875" style="38" bestFit="1" customWidth="1"/>
    <col min="21" max="21" width="13" style="38" customWidth="1"/>
    <col min="22" max="22" width="14.42578125" style="38" bestFit="1" customWidth="1"/>
    <col min="23" max="16384" width="13" style="38"/>
  </cols>
  <sheetData>
    <row r="1" spans="1:22" x14ac:dyDescent="0.2">
      <c r="B1" s="40" t="s">
        <v>23</v>
      </c>
      <c r="C1" s="40" t="s">
        <v>403</v>
      </c>
      <c r="D1" s="41" t="s">
        <v>326</v>
      </c>
      <c r="E1" s="40" t="s">
        <v>404</v>
      </c>
      <c r="F1" s="40" t="s">
        <v>24</v>
      </c>
      <c r="G1" s="40" t="s">
        <v>25</v>
      </c>
      <c r="H1" s="40" t="s">
        <v>26</v>
      </c>
      <c r="I1" s="40" t="s">
        <v>27</v>
      </c>
      <c r="J1" s="40" t="s">
        <v>28</v>
      </c>
      <c r="K1" s="40" t="s">
        <v>29</v>
      </c>
      <c r="M1" s="40" t="s">
        <v>30</v>
      </c>
      <c r="N1" s="40" t="s">
        <v>32</v>
      </c>
      <c r="O1" s="40" t="s">
        <v>33</v>
      </c>
      <c r="Q1" s="40" t="s">
        <v>353</v>
      </c>
      <c r="R1" s="40" t="s">
        <v>354</v>
      </c>
      <c r="S1" s="40" t="s">
        <v>355</v>
      </c>
      <c r="T1" s="40" t="s">
        <v>356</v>
      </c>
      <c r="U1" s="40"/>
    </row>
    <row r="2" spans="1:22" x14ac:dyDescent="0.2">
      <c r="B2" s="39"/>
      <c r="D2" s="41"/>
      <c r="G2" s="39"/>
      <c r="H2" s="42"/>
      <c r="I2" s="42" t="s">
        <v>81</v>
      </c>
      <c r="J2" s="39"/>
      <c r="K2" s="41" t="s">
        <v>474</v>
      </c>
      <c r="M2" s="39"/>
      <c r="N2" s="41" t="s">
        <v>402</v>
      </c>
      <c r="O2" s="41" t="s">
        <v>475</v>
      </c>
      <c r="Q2" s="39"/>
      <c r="R2" s="41"/>
      <c r="S2" s="41"/>
      <c r="T2" s="41" t="s">
        <v>34</v>
      </c>
    </row>
    <row r="3" spans="1:22" x14ac:dyDescent="0.2">
      <c r="B3" s="41" t="s">
        <v>36</v>
      </c>
      <c r="C3" s="41"/>
      <c r="D3" s="41" t="s">
        <v>46</v>
      </c>
      <c r="E3" s="41" t="str">
        <f>'CC 2 TIER'!E3</f>
        <v>% OF FY 16</v>
      </c>
      <c r="F3" s="41" t="s">
        <v>373</v>
      </c>
      <c r="G3" s="41" t="s">
        <v>43</v>
      </c>
      <c r="H3" s="41" t="s">
        <v>38</v>
      </c>
      <c r="I3" s="41" t="s">
        <v>100</v>
      </c>
      <c r="J3" s="41" t="s">
        <v>398</v>
      </c>
      <c r="K3" s="41" t="s">
        <v>39</v>
      </c>
      <c r="L3" s="44" t="s">
        <v>345</v>
      </c>
      <c r="M3" s="41" t="s">
        <v>35</v>
      </c>
      <c r="N3" s="41" t="s">
        <v>398</v>
      </c>
      <c r="O3" s="41" t="s">
        <v>39</v>
      </c>
      <c r="P3" s="44" t="s">
        <v>345</v>
      </c>
      <c r="Q3" s="41" t="s">
        <v>35</v>
      </c>
      <c r="R3" s="140"/>
      <c r="S3" s="41" t="s">
        <v>34</v>
      </c>
      <c r="T3" s="41" t="str">
        <f>S4</f>
        <v>FY 15-16</v>
      </c>
      <c r="V3" s="119">
        <v>1.1499999999999999</v>
      </c>
    </row>
    <row r="4" spans="1:22" x14ac:dyDescent="0.2">
      <c r="B4" s="41" t="s">
        <v>41</v>
      </c>
      <c r="C4" s="41" t="str">
        <f>'CC 2 TIER'!C3</f>
        <v>FY 15-16</v>
      </c>
      <c r="D4" s="41" t="s">
        <v>323</v>
      </c>
      <c r="E4" s="41" t="s">
        <v>46</v>
      </c>
      <c r="F4" s="41" t="str">
        <f>C4</f>
        <v>FY 15-16</v>
      </c>
      <c r="G4" s="41" t="s">
        <v>47</v>
      </c>
      <c r="H4" s="41" t="s">
        <v>44</v>
      </c>
      <c r="I4" s="41" t="s">
        <v>44</v>
      </c>
      <c r="J4" s="41" t="s">
        <v>44</v>
      </c>
      <c r="K4" s="41" t="s">
        <v>44</v>
      </c>
      <c r="M4" s="41" t="s">
        <v>37</v>
      </c>
      <c r="N4" s="41" t="s">
        <v>44</v>
      </c>
      <c r="O4" s="41" t="s">
        <v>44</v>
      </c>
      <c r="Q4" s="41" t="s">
        <v>37</v>
      </c>
      <c r="R4" s="43" t="s">
        <v>43</v>
      </c>
      <c r="S4" s="41" t="str">
        <f>'CC 2 TIER'!O4</f>
        <v>FY 15-16</v>
      </c>
      <c r="T4" s="41" t="s">
        <v>323</v>
      </c>
      <c r="U4" s="44"/>
      <c r="V4" s="41" t="s">
        <v>364</v>
      </c>
    </row>
    <row r="5" spans="1:22" x14ac:dyDescent="0.2">
      <c r="A5" s="39" t="s">
        <v>317</v>
      </c>
      <c r="B5" s="44" t="s">
        <v>45</v>
      </c>
      <c r="C5" s="44" t="s">
        <v>47</v>
      </c>
      <c r="D5" s="44" t="s">
        <v>324</v>
      </c>
      <c r="E5" s="44" t="s">
        <v>324</v>
      </c>
      <c r="F5" s="44" t="s">
        <v>47</v>
      </c>
      <c r="G5" s="44" t="s">
        <v>374</v>
      </c>
      <c r="H5" s="44" t="s">
        <v>48</v>
      </c>
      <c r="I5" s="44" t="s">
        <v>48</v>
      </c>
      <c r="J5" s="44" t="s">
        <v>48</v>
      </c>
      <c r="K5" s="44" t="s">
        <v>49</v>
      </c>
      <c r="M5" s="44" t="s">
        <v>42</v>
      </c>
      <c r="N5" s="44" t="s">
        <v>48</v>
      </c>
      <c r="O5" s="44" t="s">
        <v>49</v>
      </c>
      <c r="Q5" s="44" t="s">
        <v>42</v>
      </c>
      <c r="R5" s="45" t="s">
        <v>47</v>
      </c>
      <c r="S5" s="44" t="s">
        <v>47</v>
      </c>
      <c r="T5" s="44" t="s">
        <v>47</v>
      </c>
      <c r="U5" s="44" t="s">
        <v>382</v>
      </c>
      <c r="V5" s="44" t="s">
        <v>5</v>
      </c>
    </row>
    <row r="6" spans="1:22" x14ac:dyDescent="0.2">
      <c r="D6" s="46"/>
      <c r="H6" s="26"/>
      <c r="I6" s="21"/>
    </row>
    <row r="7" spans="1:22" x14ac:dyDescent="0.2">
      <c r="A7" s="49" t="s">
        <v>50</v>
      </c>
      <c r="B7" s="75">
        <f>'REV SUMMARY'!H22</f>
        <v>4745247.966182447</v>
      </c>
      <c r="H7" s="26"/>
      <c r="I7" s="21"/>
      <c r="V7" s="39" t="e">
        <f>IF('REV SUMMARY'!#REF!&lt;0,'REV SUMMARY'!#REF!*-1,0)</f>
        <v>#REF!</v>
      </c>
    </row>
    <row r="8" spans="1:22" x14ac:dyDescent="0.2">
      <c r="D8" s="50"/>
    </row>
    <row r="9" spans="1:22" x14ac:dyDescent="0.2">
      <c r="A9" s="39" t="s">
        <v>55</v>
      </c>
    </row>
    <row r="10" spans="1:22" hidden="1" x14ac:dyDescent="0.2">
      <c r="A10" s="38" t="s">
        <v>344</v>
      </c>
      <c r="L10" s="54">
        <f>SUM(L11:L12)</f>
        <v>0.1864354461681918</v>
      </c>
      <c r="M10" s="54"/>
      <c r="P10" s="54">
        <f>SUM(P11:P12)</f>
        <v>0.18162891082507829</v>
      </c>
      <c r="Q10" s="54"/>
    </row>
    <row r="11" spans="1:22" hidden="1" x14ac:dyDescent="0.2">
      <c r="A11" s="38" t="s">
        <v>329</v>
      </c>
      <c r="L11" s="55">
        <f>IF(L23&lt;&gt;1,1-L23,0)</f>
        <v>0</v>
      </c>
      <c r="M11" s="55"/>
      <c r="P11" s="55">
        <f>IF(P23&lt;&gt;1,1-P23,0)</f>
        <v>0</v>
      </c>
      <c r="Q11" s="55"/>
    </row>
    <row r="12" spans="1:22" x14ac:dyDescent="0.2">
      <c r="A12" s="38" t="s">
        <v>318</v>
      </c>
      <c r="C12" s="48">
        <f>'BASE CALC'!D313</f>
        <v>1095828.7151200001</v>
      </c>
      <c r="D12" s="48">
        <f>SUM(C12/12)</f>
        <v>91319.059593333339</v>
      </c>
      <c r="E12" s="127">
        <f>C12/$C$23</f>
        <v>0.1871337668085955</v>
      </c>
      <c r="F12" s="48">
        <f>IF($G$23&lt;0,$B$7*E12," ")</f>
        <v>887996.12635254813</v>
      </c>
      <c r="G12" s="48">
        <f>IF($G$23&lt;0,F12-C12," ")</f>
        <v>-207832.58876745193</v>
      </c>
      <c r="H12" s="56">
        <f>Population!AP198</f>
        <v>-5.7694703857881016E-3</v>
      </c>
      <c r="I12" s="56">
        <f>'Data Base'!B207</f>
        <v>0.14678130329825601</v>
      </c>
      <c r="J12" s="56">
        <f>(H12+I12)+1</f>
        <v>1.1410118329124679</v>
      </c>
      <c r="K12" s="50">
        <f>C12*J12</f>
        <v>1250353.5307971858</v>
      </c>
      <c r="L12" s="56">
        <f>SUM(K12/K$23)</f>
        <v>0.1864354461681918</v>
      </c>
      <c r="M12" s="127">
        <f>L10</f>
        <v>0.1864354461681918</v>
      </c>
      <c r="N12" s="56">
        <f>IF((H12+I12)&gt;0,H12+I12,0)</f>
        <v>0.14101183291246791</v>
      </c>
      <c r="O12" s="50">
        <f>C12*N12</f>
        <v>154524.81567718583</v>
      </c>
      <c r="P12" s="50">
        <f>SUM(O12/O$23)</f>
        <v>0.18162891082507829</v>
      </c>
      <c r="Q12" s="127">
        <f>P10</f>
        <v>0.18162891082507829</v>
      </c>
      <c r="R12" s="50" t="str">
        <f>IF($G$23&gt;0,$G$23*Q12," ")</f>
        <v xml:space="preserve"> </v>
      </c>
      <c r="S12" s="52">
        <f>U12+U26</f>
        <v>887996.1261824473</v>
      </c>
      <c r="T12" s="50">
        <f>S12/12</f>
        <v>73999.677181870604</v>
      </c>
      <c r="U12" s="52">
        <f>ROUND(IF($G$23&gt;0,C12+R12,F12),2)</f>
        <v>887996.13</v>
      </c>
    </row>
    <row r="13" spans="1:22" x14ac:dyDescent="0.2">
      <c r="C13" s="48"/>
      <c r="D13" s="48"/>
      <c r="E13" s="127"/>
      <c r="F13" s="48"/>
      <c r="G13" s="48"/>
      <c r="H13" s="56"/>
      <c r="I13" s="56"/>
      <c r="J13" s="56"/>
      <c r="K13" s="50"/>
      <c r="L13" s="56"/>
      <c r="M13" s="56"/>
      <c r="N13" s="56"/>
      <c r="O13" s="50"/>
      <c r="P13" s="56"/>
      <c r="Q13" s="127"/>
      <c r="R13" s="50"/>
      <c r="S13" s="52"/>
      <c r="T13" s="50"/>
    </row>
    <row r="14" spans="1:22" x14ac:dyDescent="0.2">
      <c r="A14" s="38" t="s">
        <v>224</v>
      </c>
      <c r="C14" s="48">
        <f>'BASE CALC'!D315</f>
        <v>16006.05384</v>
      </c>
      <c r="D14" s="48"/>
      <c r="E14" s="127">
        <f t="shared" ref="E14:E21" si="0">C14/$C$23</f>
        <v>2.7333406265890592E-3</v>
      </c>
      <c r="F14" s="48">
        <f>IF($G$23&lt;0,$B$7*E14," ")</f>
        <v>12970.379049205589</v>
      </c>
      <c r="G14" s="48">
        <f t="shared" ref="G14:G21" si="1">IF($G$23&lt;0,F14-C14," ")</f>
        <v>-3035.6747907944118</v>
      </c>
      <c r="H14" s="56">
        <f>Population!AP199</f>
        <v>5.9014222509393963E-2</v>
      </c>
      <c r="I14" s="56">
        <f>'Data Base'!B208</f>
        <v>1.1054497026396574E-2</v>
      </c>
      <c r="J14" s="56">
        <f t="shared" ref="J14:J21" si="2">(H14+I14)+1</f>
        <v>1.0700687195357905</v>
      </c>
      <c r="K14" s="50">
        <f>C14*J14</f>
        <v>17127.577537389723</v>
      </c>
      <c r="L14" s="56">
        <f>SUM(K14/K$23)</f>
        <v>2.5538277625590236E-3</v>
      </c>
      <c r="M14" s="127">
        <f>SUM(L14/L$23)</f>
        <v>2.5538277625590236E-3</v>
      </c>
      <c r="N14" s="56">
        <f t="shared" ref="N14:N21" si="3">IF((H14+I14)&gt;0,H14+I14,0)</f>
        <v>7.0068719535790538E-2</v>
      </c>
      <c r="O14" s="50">
        <f>C14*N14</f>
        <v>1121.5236973897231</v>
      </c>
      <c r="P14" s="56">
        <f>SUM(O14/O$23)</f>
        <v>1.3182421653681654E-3</v>
      </c>
      <c r="Q14" s="127">
        <f>SUM(P14/P$23)</f>
        <v>1.3182421653681654E-3</v>
      </c>
      <c r="R14" s="50" t="str">
        <f>IF($G$23&gt;0,$G$23*Q14," ")</f>
        <v xml:space="preserve"> </v>
      </c>
      <c r="S14" s="52">
        <f>ROUND(IF($G$23&gt;0,C14+R14,F14),2)</f>
        <v>12970.38</v>
      </c>
      <c r="T14" s="50">
        <f t="shared" ref="T14:T21" si="4">S14/12</f>
        <v>1080.865</v>
      </c>
      <c r="U14" s="50">
        <f>S14</f>
        <v>12970.38</v>
      </c>
    </row>
    <row r="15" spans="1:22" x14ac:dyDescent="0.2">
      <c r="C15" s="48"/>
      <c r="D15" s="48">
        <f>SUM(C15/12)</f>
        <v>0</v>
      </c>
      <c r="E15" s="127"/>
      <c r="F15" s="48"/>
      <c r="G15" s="48"/>
      <c r="H15" s="56"/>
      <c r="I15" s="56"/>
      <c r="J15" s="56"/>
      <c r="K15" s="50"/>
      <c r="L15" s="56"/>
      <c r="M15" s="56"/>
      <c r="N15" s="56"/>
      <c r="O15" s="50"/>
      <c r="P15" s="56"/>
      <c r="Q15" s="127"/>
      <c r="R15" s="50"/>
      <c r="S15" s="52"/>
      <c r="T15" s="50"/>
      <c r="U15" s="50"/>
    </row>
    <row r="16" spans="1:22" x14ac:dyDescent="0.2">
      <c r="A16" s="38" t="s">
        <v>225</v>
      </c>
      <c r="C16" s="48">
        <f>'BASE CALC'!D317</f>
        <v>18980.403999999999</v>
      </c>
      <c r="D16" s="48"/>
      <c r="E16" s="127">
        <f t="shared" si="0"/>
        <v>3.2412679527931343E-3</v>
      </c>
      <c r="F16" s="48">
        <f>IF($G$23&lt;0,$B$7*E16," ")</f>
        <v>15380.620160843964</v>
      </c>
      <c r="G16" s="48">
        <f t="shared" si="1"/>
        <v>-3599.7838391560344</v>
      </c>
      <c r="H16" s="56">
        <f>Population!AP200</f>
        <v>1.6897579236820608E-2</v>
      </c>
      <c r="I16" s="56">
        <f>'Data Base'!B209</f>
        <v>6.623488190463224E-2</v>
      </c>
      <c r="J16" s="56">
        <f t="shared" si="2"/>
        <v>1.0831324611414528</v>
      </c>
      <c r="K16" s="50">
        <f>C16*J16</f>
        <v>20558.291697979075</v>
      </c>
      <c r="L16" s="56">
        <f t="shared" ref="L16:M18" si="5">SUM(K16/K$23)</f>
        <v>3.0653684664087712E-3</v>
      </c>
      <c r="M16" s="127">
        <f t="shared" si="5"/>
        <v>3.0653684664087712E-3</v>
      </c>
      <c r="N16" s="56">
        <f t="shared" si="3"/>
        <v>8.313246114145284E-2</v>
      </c>
      <c r="O16" s="50">
        <f>C16*N16</f>
        <v>1577.8876979790759</v>
      </c>
      <c r="P16" s="56">
        <f t="shared" ref="P16:Q18" si="6">SUM(O16/O$23)</f>
        <v>1.8546537184482921E-3</v>
      </c>
      <c r="Q16" s="127">
        <f t="shared" si="6"/>
        <v>1.8546537184482921E-3</v>
      </c>
      <c r="R16" s="50" t="str">
        <f>IF($G$23&gt;0,$G$23*Q16," ")</f>
        <v xml:space="preserve"> </v>
      </c>
      <c r="S16" s="52">
        <f>ROUND(IF($G$23&gt;0,C16+R16,F16),2)</f>
        <v>15380.62</v>
      </c>
      <c r="T16" s="50">
        <f t="shared" si="4"/>
        <v>1281.7183333333335</v>
      </c>
      <c r="U16" s="50">
        <f t="shared" ref="U16:U21" si="7">S16</f>
        <v>15380.62</v>
      </c>
    </row>
    <row r="17" spans="1:21" x14ac:dyDescent="0.2">
      <c r="A17" s="38" t="s">
        <v>226</v>
      </c>
      <c r="C17" s="48">
        <f>'BASE CALC'!D318</f>
        <v>0</v>
      </c>
      <c r="D17" s="48"/>
      <c r="E17" s="127">
        <f t="shared" si="0"/>
        <v>0</v>
      </c>
      <c r="F17" s="48">
        <f>IF($G$23&lt;0,$B$7*E17," ")</f>
        <v>0</v>
      </c>
      <c r="G17" s="48">
        <f t="shared" si="1"/>
        <v>0</v>
      </c>
      <c r="H17" s="56">
        <f>Population!AP201</f>
        <v>1.3979347469324147E-2</v>
      </c>
      <c r="I17" s="56">
        <f>'Data Base'!B210</f>
        <v>3.6544942079785522E-2</v>
      </c>
      <c r="J17" s="56">
        <f t="shared" si="2"/>
        <v>1.0505242895491096</v>
      </c>
      <c r="K17" s="50">
        <f>C17*J17</f>
        <v>0</v>
      </c>
      <c r="L17" s="56">
        <f t="shared" si="5"/>
        <v>0</v>
      </c>
      <c r="M17" s="127">
        <f t="shared" si="5"/>
        <v>0</v>
      </c>
      <c r="N17" s="56">
        <f t="shared" si="3"/>
        <v>5.0524289549109667E-2</v>
      </c>
      <c r="O17" s="50">
        <f>C17*N17</f>
        <v>0</v>
      </c>
      <c r="P17" s="56">
        <f t="shared" si="6"/>
        <v>0</v>
      </c>
      <c r="Q17" s="127">
        <f t="shared" si="6"/>
        <v>0</v>
      </c>
      <c r="R17" s="50" t="str">
        <f>IF($G$23&gt;0,$G$23*Q17," ")</f>
        <v xml:space="preserve"> </v>
      </c>
      <c r="S17" s="52">
        <f>ROUND(IF($G$23&gt;0,C17+R17,F17),2)</f>
        <v>0</v>
      </c>
      <c r="T17" s="50">
        <f t="shared" si="4"/>
        <v>0</v>
      </c>
      <c r="U17" s="50">
        <f t="shared" si="7"/>
        <v>0</v>
      </c>
    </row>
    <row r="18" spans="1:21" x14ac:dyDescent="0.2">
      <c r="A18" s="38" t="s">
        <v>227</v>
      </c>
      <c r="C18" s="48">
        <f>'BASE CALC'!D319</f>
        <v>0</v>
      </c>
      <c r="D18" s="48">
        <f>SUM(C18/12)</f>
        <v>0</v>
      </c>
      <c r="E18" s="127">
        <f t="shared" si="0"/>
        <v>0</v>
      </c>
      <c r="F18" s="48">
        <f>IF($G$23&lt;0,$B$7*E18," ")</f>
        <v>0</v>
      </c>
      <c r="G18" s="48">
        <f t="shared" si="1"/>
        <v>0</v>
      </c>
      <c r="H18" s="56">
        <f>Population!AP202</f>
        <v>0</v>
      </c>
      <c r="I18" s="56">
        <f>'Data Base'!B211</f>
        <v>1.513738696774351E-2</v>
      </c>
      <c r="J18" s="56">
        <f t="shared" si="2"/>
        <v>1.0151373869677436</v>
      </c>
      <c r="K18" s="50">
        <f>C18*J18</f>
        <v>0</v>
      </c>
      <c r="L18" s="56">
        <f t="shared" si="5"/>
        <v>0</v>
      </c>
      <c r="M18" s="127">
        <f t="shared" si="5"/>
        <v>0</v>
      </c>
      <c r="N18" s="56">
        <f t="shared" si="3"/>
        <v>1.513738696774351E-2</v>
      </c>
      <c r="O18" s="50">
        <f>C18*N18</f>
        <v>0</v>
      </c>
      <c r="P18" s="56">
        <f t="shared" si="6"/>
        <v>0</v>
      </c>
      <c r="Q18" s="127">
        <f t="shared" si="6"/>
        <v>0</v>
      </c>
      <c r="R18" s="50" t="str">
        <f>IF($G$23&gt;0,$G$23*Q18," ")</f>
        <v xml:space="preserve"> </v>
      </c>
      <c r="S18" s="52">
        <f>ROUND(IF($G$23&gt;0,C18+R18,F18),2)</f>
        <v>0</v>
      </c>
      <c r="T18" s="50">
        <f t="shared" si="4"/>
        <v>0</v>
      </c>
      <c r="U18" s="50">
        <f t="shared" si="7"/>
        <v>0</v>
      </c>
    </row>
    <row r="19" spans="1:21" ht="15" x14ac:dyDescent="0.35">
      <c r="C19" s="48"/>
      <c r="D19" s="58">
        <f>SUM(C19/12)</f>
        <v>0</v>
      </c>
      <c r="E19" s="127"/>
      <c r="F19" s="48"/>
      <c r="G19" s="48"/>
      <c r="I19" s="56"/>
      <c r="J19" s="56"/>
      <c r="K19" s="50"/>
      <c r="L19" s="56"/>
      <c r="M19" s="56"/>
      <c r="N19" s="56"/>
      <c r="O19" s="50"/>
      <c r="P19" s="56"/>
      <c r="Q19" s="127"/>
      <c r="R19" s="50"/>
      <c r="S19" s="52"/>
      <c r="T19" s="50"/>
      <c r="U19" s="50"/>
    </row>
    <row r="20" spans="1:21" x14ac:dyDescent="0.2">
      <c r="A20" s="39" t="s">
        <v>60</v>
      </c>
      <c r="C20" s="48"/>
      <c r="E20" s="127"/>
      <c r="F20" s="48"/>
      <c r="G20" s="48"/>
      <c r="I20" s="56"/>
      <c r="J20" s="56"/>
      <c r="K20" s="50"/>
      <c r="L20" s="56"/>
      <c r="M20" s="56"/>
      <c r="N20" s="56"/>
      <c r="O20" s="50"/>
      <c r="P20" s="56"/>
      <c r="Q20" s="127"/>
      <c r="R20" s="50"/>
      <c r="S20" s="52"/>
      <c r="T20" s="50"/>
      <c r="U20" s="50"/>
    </row>
    <row r="21" spans="1:21" ht="15" x14ac:dyDescent="0.35">
      <c r="A21" s="38" t="s">
        <v>319</v>
      </c>
      <c r="C21" s="58">
        <f>'BASE CALC'!D322</f>
        <v>4725042.5581614897</v>
      </c>
      <c r="E21" s="125">
        <f t="shared" si="0"/>
        <v>0.80689162461202224</v>
      </c>
      <c r="F21" s="58">
        <f>IF($G$23&lt;0,$B$7*E21," ")</f>
        <v>3828900.840619849</v>
      </c>
      <c r="G21" s="58">
        <f t="shared" si="1"/>
        <v>-896141.71754164062</v>
      </c>
      <c r="I21" s="56">
        <f>'Data Base'!B212</f>
        <v>0.14678130329825601</v>
      </c>
      <c r="J21" s="56">
        <f t="shared" si="2"/>
        <v>1.1467813032982561</v>
      </c>
      <c r="K21" s="59">
        <f>C21*J21</f>
        <v>5418590.4629881596</v>
      </c>
      <c r="L21" s="82">
        <f>SUM(K21/K$23)</f>
        <v>0.80794535760284036</v>
      </c>
      <c r="M21" s="125">
        <f>SUM(L21/L$23)</f>
        <v>0.80794535760284036</v>
      </c>
      <c r="N21" s="56">
        <f t="shared" si="3"/>
        <v>0.14678130329825601</v>
      </c>
      <c r="O21" s="59">
        <f>C21*N21</f>
        <v>693547.90482666902</v>
      </c>
      <c r="P21" s="82">
        <f>SUM(O21/O$23)</f>
        <v>0.81519819329110521</v>
      </c>
      <c r="Q21" s="127">
        <f>SUM(P21/P$23)</f>
        <v>0.81519819329110521</v>
      </c>
      <c r="R21" s="50" t="str">
        <f>IF($G$23&gt;0,$G$23*Q21," ")</f>
        <v xml:space="preserve"> </v>
      </c>
      <c r="S21" s="60">
        <f>ROUND(IF($G$23&gt;0,C21+R21,F21),2)</f>
        <v>3828900.84</v>
      </c>
      <c r="T21" s="59">
        <f t="shared" si="4"/>
        <v>319075.07</v>
      </c>
      <c r="U21" s="59">
        <f t="shared" si="7"/>
        <v>3828900.84</v>
      </c>
    </row>
    <row r="22" spans="1:21" x14ac:dyDescent="0.2">
      <c r="C22" s="48"/>
    </row>
    <row r="23" spans="1:21" ht="13.5" thickBot="1" x14ac:dyDescent="0.25">
      <c r="A23" s="64" t="s">
        <v>351</v>
      </c>
      <c r="C23" s="65">
        <f>SUM(C12:C22)</f>
        <v>5855857.7311214898</v>
      </c>
      <c r="D23" s="77"/>
      <c r="E23" s="78">
        <f>SUM(E12:E21)</f>
        <v>1</v>
      </c>
      <c r="F23" s="65">
        <f>SUM(F12:F21)</f>
        <v>4745247.966182447</v>
      </c>
      <c r="G23" s="68">
        <f>SUM(B7-C23)</f>
        <v>-1110609.7649390427</v>
      </c>
      <c r="K23" s="68">
        <f t="shared" ref="K23:T23" si="8">SUM(K12:K21)</f>
        <v>6706629.8630207144</v>
      </c>
      <c r="L23" s="78">
        <f t="shared" si="8"/>
        <v>1</v>
      </c>
      <c r="M23" s="78">
        <f t="shared" si="8"/>
        <v>1</v>
      </c>
      <c r="O23" s="68">
        <f>SUM(O12:O21)</f>
        <v>850772.13189922366</v>
      </c>
      <c r="P23" s="78">
        <f>SUM(P12:P21)</f>
        <v>1</v>
      </c>
      <c r="Q23" s="78">
        <f>SUM(Q12:Q21)</f>
        <v>1</v>
      </c>
      <c r="R23" s="68">
        <f>SUM(R12:R21)</f>
        <v>0</v>
      </c>
      <c r="S23" s="100">
        <f t="shared" si="8"/>
        <v>4745247.966182447</v>
      </c>
      <c r="T23" s="68">
        <f t="shared" si="8"/>
        <v>395437.33051520394</v>
      </c>
      <c r="U23" s="50">
        <f>SUM(U12:U21)</f>
        <v>4745247.97</v>
      </c>
    </row>
    <row r="24" spans="1:21" ht="13.5" thickTop="1" x14ac:dyDescent="0.2">
      <c r="A24" s="71"/>
    </row>
    <row r="25" spans="1:21" ht="25.5" x14ac:dyDescent="0.2">
      <c r="A25" s="129" t="str">
        <f>'CC 2 TIER'!A20</f>
        <v>Please refer to 'NOTES' page (D-43) for information and assumptions.</v>
      </c>
    </row>
    <row r="26" spans="1:21" x14ac:dyDescent="0.2">
      <c r="U26" s="52">
        <f>B7-U23</f>
        <v>-3.8175527006387711E-3</v>
      </c>
    </row>
  </sheetData>
  <phoneticPr fontId="0" type="noConversion"/>
  <printOptions horizontalCentered="1"/>
  <pageMargins left="0.25" right="0.25" top="1.25" bottom="0.25" header="0.75" footer="0.25"/>
  <pageSetup scale="90" orientation="landscape" r:id="rId1"/>
  <headerFooter alignWithMargins="0">
    <oddHeader>&amp;C&amp;"Arial,Bold"PRELIMINARY REVENUE ESTIMATE - FISCAL YEAR 2006-07
NRS 360.600 through NRS 360.740</oddHeader>
    <oddFooter>&amp;L&amp;8ADMINISTRATIVE SERVICES DIVISION, 3/15/06&amp;RD-&amp;P</oddFooter>
  </headerFooter>
  <colBreaks count="1" manualBreakCount="1">
    <brk id="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indexed="47"/>
  </sheetPr>
  <dimension ref="A1:N26"/>
  <sheetViews>
    <sheetView zoomScaleNormal="100" workbookViewId="0">
      <selection activeCell="O21" sqref="O21"/>
    </sheetView>
  </sheetViews>
  <sheetFormatPr defaultRowHeight="12.75" x14ac:dyDescent="0.2"/>
  <cols>
    <col min="1" max="16384" width="9.140625" style="38"/>
  </cols>
  <sheetData>
    <row r="1" spans="1:13" ht="15.75" x14ac:dyDescent="0.25">
      <c r="A1" s="385" t="s">
        <v>365</v>
      </c>
      <c r="B1" s="385"/>
      <c r="C1" s="385"/>
      <c r="D1" s="385"/>
      <c r="E1" s="385"/>
      <c r="F1" s="385"/>
      <c r="G1" s="385"/>
      <c r="H1" s="385"/>
      <c r="I1" s="385"/>
      <c r="J1" s="385"/>
      <c r="K1" s="385"/>
      <c r="L1" s="385"/>
      <c r="M1" s="385"/>
    </row>
    <row r="4" spans="1:13" ht="39" customHeight="1" x14ac:dyDescent="0.2">
      <c r="A4" s="384" t="s">
        <v>551</v>
      </c>
      <c r="B4" s="384"/>
      <c r="C4" s="384"/>
      <c r="D4" s="384"/>
      <c r="E4" s="384"/>
      <c r="F4" s="384"/>
      <c r="G4" s="384"/>
      <c r="H4" s="384"/>
      <c r="I4" s="384"/>
      <c r="J4" s="384"/>
      <c r="K4" s="384"/>
      <c r="L4" s="384"/>
      <c r="M4" s="384"/>
    </row>
    <row r="5" spans="1:13" x14ac:dyDescent="0.2">
      <c r="A5" s="248"/>
      <c r="B5" s="248"/>
      <c r="C5" s="248"/>
      <c r="D5" s="248"/>
      <c r="E5" s="248"/>
      <c r="F5" s="248"/>
      <c r="G5" s="248"/>
      <c r="H5" s="248"/>
      <c r="I5" s="248"/>
      <c r="J5" s="248"/>
      <c r="K5" s="248"/>
      <c r="L5" s="248"/>
      <c r="M5" s="248"/>
    </row>
    <row r="6" spans="1:13" ht="26.25" customHeight="1" x14ac:dyDescent="0.2">
      <c r="A6" s="384" t="s">
        <v>552</v>
      </c>
      <c r="B6" s="384"/>
      <c r="C6" s="384"/>
      <c r="D6" s="384"/>
      <c r="E6" s="384"/>
      <c r="F6" s="384"/>
      <c r="G6" s="384"/>
      <c r="H6" s="384"/>
      <c r="I6" s="384"/>
      <c r="J6" s="384"/>
      <c r="K6" s="384"/>
      <c r="L6" s="384"/>
      <c r="M6" s="384"/>
    </row>
    <row r="7" spans="1:13" x14ac:dyDescent="0.2">
      <c r="A7" s="248"/>
      <c r="B7" s="248"/>
      <c r="C7" s="248"/>
      <c r="D7" s="248"/>
      <c r="E7" s="248"/>
      <c r="F7" s="248"/>
      <c r="G7" s="248"/>
      <c r="H7" s="248"/>
      <c r="I7" s="248"/>
      <c r="J7" s="248"/>
      <c r="K7" s="248"/>
      <c r="L7" s="248"/>
      <c r="M7" s="248"/>
    </row>
    <row r="8" spans="1:13" ht="24.75" customHeight="1" x14ac:dyDescent="0.2">
      <c r="A8" s="384" t="s">
        <v>383</v>
      </c>
      <c r="B8" s="384"/>
      <c r="C8" s="384"/>
      <c r="D8" s="384"/>
      <c r="E8" s="384"/>
      <c r="F8" s="384"/>
      <c r="G8" s="384"/>
      <c r="H8" s="384"/>
      <c r="I8" s="384"/>
      <c r="J8" s="384"/>
      <c r="K8" s="384"/>
      <c r="L8" s="384"/>
      <c r="M8" s="384"/>
    </row>
    <row r="9" spans="1:13" x14ac:dyDescent="0.2">
      <c r="A9" s="248"/>
      <c r="B9" s="248"/>
      <c r="C9" s="248"/>
      <c r="D9" s="248"/>
      <c r="E9" s="248"/>
      <c r="F9" s="248"/>
      <c r="G9" s="248"/>
      <c r="H9" s="248"/>
      <c r="I9" s="248"/>
      <c r="J9" s="248"/>
      <c r="K9" s="248"/>
      <c r="L9" s="248"/>
      <c r="M9" s="248"/>
    </row>
    <row r="10" spans="1:13" x14ac:dyDescent="0.2">
      <c r="A10" s="248"/>
      <c r="B10" s="248"/>
      <c r="C10" s="248"/>
      <c r="D10" s="248"/>
      <c r="E10" s="248"/>
      <c r="F10" s="248"/>
      <c r="G10" s="248"/>
      <c r="H10" s="248"/>
      <c r="I10" s="248"/>
      <c r="J10" s="248"/>
      <c r="K10" s="248"/>
      <c r="L10" s="248"/>
      <c r="M10" s="248"/>
    </row>
    <row r="11" spans="1:13" ht="37.5" customHeight="1" x14ac:dyDescent="0.2">
      <c r="A11" s="384" t="s">
        <v>531</v>
      </c>
      <c r="B11" s="384"/>
      <c r="C11" s="384"/>
      <c r="D11" s="384"/>
      <c r="E11" s="384"/>
      <c r="F11" s="384"/>
      <c r="G11" s="384"/>
      <c r="H11" s="384"/>
      <c r="I11" s="384"/>
      <c r="J11" s="384"/>
      <c r="K11" s="384"/>
      <c r="L11" s="384"/>
      <c r="M11" s="384"/>
    </row>
    <row r="12" spans="1:13" x14ac:dyDescent="0.2">
      <c r="A12" s="248"/>
      <c r="B12" s="248"/>
      <c r="C12" s="248"/>
      <c r="D12" s="248"/>
      <c r="E12" s="248"/>
      <c r="F12" s="248"/>
      <c r="G12" s="248"/>
      <c r="H12" s="248"/>
      <c r="I12" s="248"/>
      <c r="J12" s="248"/>
      <c r="K12" s="248"/>
      <c r="L12" s="248"/>
      <c r="M12" s="248"/>
    </row>
    <row r="13" spans="1:13" ht="26.25" customHeight="1" x14ac:dyDescent="0.2">
      <c r="A13" s="384" t="s">
        <v>532</v>
      </c>
      <c r="B13" s="384"/>
      <c r="C13" s="384"/>
      <c r="D13" s="384"/>
      <c r="E13" s="384"/>
      <c r="F13" s="384"/>
      <c r="G13" s="384"/>
      <c r="H13" s="384"/>
      <c r="I13" s="384"/>
      <c r="J13" s="384"/>
      <c r="K13" s="384"/>
      <c r="L13" s="384"/>
      <c r="M13" s="384"/>
    </row>
    <row r="14" spans="1:13" x14ac:dyDescent="0.2">
      <c r="A14" s="248"/>
      <c r="B14" s="248"/>
      <c r="C14" s="248"/>
      <c r="D14" s="248"/>
      <c r="E14" s="248"/>
      <c r="F14" s="248"/>
      <c r="G14" s="248"/>
      <c r="H14" s="248"/>
      <c r="I14" s="248"/>
      <c r="J14" s="248"/>
      <c r="K14" s="248"/>
      <c r="L14" s="248"/>
      <c r="M14" s="248"/>
    </row>
    <row r="15" spans="1:13" x14ac:dyDescent="0.2">
      <c r="A15" s="247"/>
      <c r="B15" s="247"/>
      <c r="C15" s="247"/>
      <c r="D15" s="247"/>
      <c r="E15" s="247"/>
      <c r="F15" s="247"/>
      <c r="G15" s="247"/>
      <c r="H15" s="247"/>
      <c r="I15" s="247"/>
      <c r="J15" s="247"/>
      <c r="K15" s="247"/>
      <c r="L15" s="247"/>
      <c r="M15" s="247"/>
    </row>
    <row r="16" spans="1:13" x14ac:dyDescent="0.2">
      <c r="A16" s="248"/>
      <c r="B16" s="248"/>
      <c r="C16" s="248"/>
      <c r="D16" s="248"/>
      <c r="E16" s="248"/>
      <c r="F16" s="248"/>
      <c r="G16" s="248"/>
      <c r="H16" s="248"/>
      <c r="I16" s="248"/>
      <c r="J16" s="248"/>
      <c r="K16" s="248"/>
      <c r="L16" s="248"/>
      <c r="M16" s="248"/>
    </row>
    <row r="17" spans="1:14" x14ac:dyDescent="0.2">
      <c r="A17" s="248"/>
      <c r="B17" s="248" t="s">
        <v>375</v>
      </c>
      <c r="C17" s="248" t="s">
        <v>368</v>
      </c>
      <c r="D17" s="248"/>
      <c r="E17" s="248"/>
      <c r="F17" s="248"/>
      <c r="G17" s="248"/>
      <c r="H17" s="248"/>
      <c r="I17" s="248"/>
      <c r="J17" s="248"/>
      <c r="K17" s="248"/>
      <c r="L17" s="248"/>
      <c r="M17" s="248"/>
    </row>
    <row r="18" spans="1:14" x14ac:dyDescent="0.2">
      <c r="A18" s="248"/>
      <c r="B18" s="248"/>
      <c r="C18" s="248" t="s">
        <v>378</v>
      </c>
      <c r="D18" s="248"/>
      <c r="E18" s="248"/>
      <c r="F18" s="248"/>
      <c r="G18" s="248"/>
      <c r="H18" s="248"/>
      <c r="I18" s="248"/>
      <c r="J18" s="248"/>
      <c r="K18" s="248"/>
      <c r="L18" s="248"/>
      <c r="M18" s="248"/>
    </row>
    <row r="19" spans="1:14" x14ac:dyDescent="0.2">
      <c r="A19" s="248"/>
      <c r="B19" s="248"/>
      <c r="C19" s="248" t="s">
        <v>369</v>
      </c>
      <c r="D19" s="248"/>
      <c r="E19" s="248"/>
      <c r="F19" s="248"/>
      <c r="G19" s="248"/>
      <c r="H19" s="248"/>
      <c r="I19" s="248"/>
      <c r="J19" s="248"/>
      <c r="K19" s="248"/>
      <c r="L19" s="248"/>
      <c r="M19" s="248"/>
    </row>
    <row r="20" spans="1:14" x14ac:dyDescent="0.2">
      <c r="A20" s="248"/>
      <c r="B20" s="248"/>
      <c r="C20" s="248" t="s">
        <v>488</v>
      </c>
      <c r="D20" s="248"/>
      <c r="E20" s="248"/>
      <c r="F20" s="248"/>
      <c r="G20" s="248"/>
      <c r="H20" s="248"/>
      <c r="I20" s="248"/>
      <c r="J20" s="248"/>
      <c r="K20" s="248"/>
      <c r="L20" s="248"/>
      <c r="M20" s="248"/>
    </row>
    <row r="21" spans="1:14" x14ac:dyDescent="0.2">
      <c r="A21" s="248"/>
      <c r="B21" s="248"/>
      <c r="C21" s="248" t="s">
        <v>376</v>
      </c>
      <c r="D21" s="248"/>
      <c r="E21" s="248"/>
      <c r="F21" s="248"/>
      <c r="G21" s="248" t="s">
        <v>370</v>
      </c>
      <c r="H21" s="248"/>
      <c r="I21" s="248" t="s">
        <v>371</v>
      </c>
      <c r="J21" s="248"/>
      <c r="K21" s="248"/>
      <c r="L21" s="248"/>
      <c r="M21" s="248"/>
    </row>
    <row r="22" spans="1:14" x14ac:dyDescent="0.2">
      <c r="A22" s="248"/>
      <c r="B22" s="248"/>
      <c r="C22" s="248"/>
      <c r="D22" s="248"/>
      <c r="E22" s="248"/>
      <c r="F22" s="248"/>
      <c r="G22" s="248"/>
      <c r="H22" s="248"/>
      <c r="I22" s="248"/>
      <c r="J22" s="248"/>
      <c r="K22" s="248"/>
      <c r="L22" s="248"/>
      <c r="M22" s="248"/>
      <c r="N22" s="248"/>
    </row>
    <row r="23" spans="1:14" x14ac:dyDescent="0.2">
      <c r="A23" s="248" t="s">
        <v>377</v>
      </c>
      <c r="B23" s="248"/>
      <c r="C23" s="248"/>
      <c r="D23" s="248"/>
      <c r="E23" s="248"/>
      <c r="F23" s="248"/>
      <c r="G23" s="248"/>
      <c r="H23" s="248"/>
      <c r="I23" s="248"/>
      <c r="J23" s="248"/>
      <c r="K23" s="248"/>
      <c r="L23" s="248"/>
      <c r="M23" s="248"/>
      <c r="N23" s="248"/>
    </row>
    <row r="24" spans="1:14" x14ac:dyDescent="0.2">
      <c r="A24" s="248"/>
      <c r="B24" s="248"/>
      <c r="C24" s="248" t="s">
        <v>553</v>
      </c>
      <c r="D24" s="248"/>
      <c r="E24" s="248" t="s">
        <v>492</v>
      </c>
      <c r="F24" s="248"/>
      <c r="G24" s="248"/>
      <c r="H24" s="248"/>
      <c r="I24" s="248"/>
      <c r="J24" s="248"/>
      <c r="K24" s="248"/>
      <c r="L24" s="248"/>
      <c r="M24" s="248"/>
      <c r="N24" s="248"/>
    </row>
    <row r="25" spans="1:14" x14ac:dyDescent="0.2">
      <c r="A25" s="248"/>
      <c r="B25" s="248"/>
      <c r="C25" s="248"/>
      <c r="D25" s="248"/>
      <c r="E25" s="248"/>
      <c r="F25" s="248"/>
      <c r="G25" s="248"/>
      <c r="H25" s="248"/>
      <c r="I25" s="248"/>
      <c r="J25" s="248"/>
      <c r="K25" s="248"/>
      <c r="L25" s="248"/>
      <c r="M25" s="248"/>
      <c r="N25" s="248"/>
    </row>
    <row r="26" spans="1:14" x14ac:dyDescent="0.2">
      <c r="A26" s="248"/>
      <c r="B26" s="248"/>
      <c r="C26" s="248"/>
      <c r="D26" s="248"/>
      <c r="E26" s="248"/>
      <c r="F26" s="248"/>
      <c r="G26" s="248"/>
      <c r="H26" s="248"/>
      <c r="I26" s="248"/>
      <c r="J26" s="248"/>
      <c r="K26" s="248"/>
      <c r="L26" s="248"/>
      <c r="M26" s="248"/>
      <c r="N26" s="248"/>
    </row>
  </sheetData>
  <mergeCells count="6">
    <mergeCell ref="A11:M11"/>
    <mergeCell ref="A13:M13"/>
    <mergeCell ref="A1:M1"/>
    <mergeCell ref="A4:M4"/>
    <mergeCell ref="A6:M6"/>
    <mergeCell ref="A8:M8"/>
  </mergeCells>
  <phoneticPr fontId="0" type="noConversion"/>
  <printOptions horizontalCentered="1" verticalCentered="1"/>
  <pageMargins left="0.75" right="0.75" top="1" bottom="1" header="0.5" footer="0.5"/>
  <pageSetup firstPageNumber="43" orientation="landscape" useFirstPageNumber="1" r:id="rId1"/>
  <headerFooter alignWithMargins="0">
    <oddFooter>&amp;LADMINISTRATIVE SERVICES DIVISION, 3/15/15
&amp;RD-&amp;P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R218"/>
  <sheetViews>
    <sheetView zoomScaleNormal="100" workbookViewId="0">
      <selection activeCell="A5" sqref="A5"/>
    </sheetView>
  </sheetViews>
  <sheetFormatPr defaultRowHeight="12.75" x14ac:dyDescent="0.2"/>
  <cols>
    <col min="1" max="1" width="19.5703125" style="3" customWidth="1"/>
    <col min="2" max="3" width="11.28515625" style="3" hidden="1" customWidth="1"/>
    <col min="4" max="4" width="7.85546875" style="3" hidden="1" customWidth="1"/>
    <col min="5" max="5" width="11.28515625" style="3" hidden="1" customWidth="1"/>
    <col min="6" max="6" width="7.85546875" style="3" hidden="1" customWidth="1"/>
    <col min="7" max="7" width="11.28515625" style="3" hidden="1" customWidth="1"/>
    <col min="8" max="8" width="7.85546875" style="3" hidden="1" customWidth="1"/>
    <col min="9" max="9" width="11.28515625" style="5" hidden="1" customWidth="1"/>
    <col min="10" max="10" width="7.85546875" style="3" hidden="1" customWidth="1"/>
    <col min="11" max="11" width="11.28515625" style="5" hidden="1" customWidth="1"/>
    <col min="12" max="12" width="7.85546875" style="3" hidden="1" customWidth="1"/>
    <col min="13" max="13" width="11.28515625" style="5" hidden="1" customWidth="1"/>
    <col min="14" max="14" width="7.85546875" style="3" hidden="1" customWidth="1"/>
    <col min="15" max="15" width="11.28515625" style="5" hidden="1" customWidth="1"/>
    <col min="16" max="16" width="7.85546875" style="3" hidden="1" customWidth="1"/>
    <col min="17" max="17" width="11.28515625" style="5" hidden="1" customWidth="1"/>
    <col min="18" max="18" width="7.85546875" style="3" hidden="1" customWidth="1"/>
    <col min="19" max="19" width="11.28515625" style="261" hidden="1" customWidth="1"/>
    <col min="20" max="20" width="7.85546875" style="3" hidden="1" customWidth="1"/>
    <col min="21" max="21" width="11.28515625" style="236" hidden="1" customWidth="1"/>
    <col min="22" max="22" width="7.85546875" style="3" hidden="1" customWidth="1"/>
    <col min="23" max="23" width="11.28515625" style="236" hidden="1" customWidth="1"/>
    <col min="24" max="24" width="7.85546875" style="3" hidden="1" customWidth="1"/>
    <col min="25" max="25" width="11.28515625" style="236" hidden="1" customWidth="1"/>
    <col min="26" max="26" width="7.85546875" style="3" hidden="1" customWidth="1"/>
    <col min="27" max="27" width="11.28515625" style="236" hidden="1" customWidth="1"/>
    <col min="28" max="28" width="7.85546875" style="3" hidden="1" customWidth="1"/>
    <col min="29" max="29" width="11.28515625" style="236" hidden="1" customWidth="1"/>
    <col min="30" max="30" width="7.85546875" style="3" hidden="1" customWidth="1"/>
    <col min="31" max="31" width="11.28515625" style="236" bestFit="1" customWidth="1"/>
    <col min="32" max="32" width="7.85546875" style="3" customWidth="1"/>
    <col min="33" max="33" width="11.28515625" style="236" bestFit="1" customWidth="1"/>
    <col min="34" max="34" width="7.85546875" style="3" customWidth="1"/>
    <col min="35" max="35" width="11.28515625" style="236" bestFit="1" customWidth="1"/>
    <col min="36" max="36" width="7.85546875" style="3" customWidth="1"/>
    <col min="37" max="37" width="11.28515625" style="236" bestFit="1" customWidth="1"/>
    <col min="38" max="38" width="7.85546875" style="3" customWidth="1"/>
    <col min="39" max="39" width="10.140625" style="3" bestFit="1" customWidth="1"/>
    <col min="40" max="40" width="7.85546875" style="3" customWidth="1"/>
    <col min="41" max="41" width="9.140625" style="135"/>
    <col min="42" max="42" width="8.28515625" style="252" bestFit="1" customWidth="1"/>
    <col min="43" max="43" width="11.5703125" bestFit="1" customWidth="1"/>
  </cols>
  <sheetData>
    <row r="1" spans="1:42" x14ac:dyDescent="0.2">
      <c r="B1" s="8" t="s">
        <v>389</v>
      </c>
      <c r="C1" s="8" t="s">
        <v>390</v>
      </c>
      <c r="D1" s="7"/>
      <c r="E1" s="8" t="s">
        <v>391</v>
      </c>
      <c r="F1" s="7"/>
      <c r="G1" s="8" t="s">
        <v>392</v>
      </c>
      <c r="H1" s="7"/>
      <c r="I1" s="8" t="s">
        <v>385</v>
      </c>
      <c r="J1" s="7"/>
      <c r="K1" s="8" t="s">
        <v>386</v>
      </c>
      <c r="L1" s="7"/>
      <c r="M1" s="8" t="s">
        <v>470</v>
      </c>
      <c r="N1" s="7"/>
      <c r="O1" s="8" t="s">
        <v>486</v>
      </c>
      <c r="P1" s="7"/>
      <c r="Q1" s="8" t="s">
        <v>490</v>
      </c>
      <c r="R1" s="7"/>
      <c r="S1" s="257" t="s">
        <v>494</v>
      </c>
      <c r="T1" s="7"/>
      <c r="U1" s="245" t="s">
        <v>496</v>
      </c>
      <c r="V1" s="7"/>
      <c r="W1" s="245" t="s">
        <v>498</v>
      </c>
      <c r="X1" s="7"/>
      <c r="Y1" s="245" t="s">
        <v>502</v>
      </c>
      <c r="Z1" s="7"/>
      <c r="AA1" s="245" t="s">
        <v>504</v>
      </c>
      <c r="AB1" s="7"/>
      <c r="AC1" s="245" t="s">
        <v>507</v>
      </c>
      <c r="AD1" s="7"/>
      <c r="AE1" s="245" t="s">
        <v>509</v>
      </c>
      <c r="AF1" s="7"/>
      <c r="AG1" s="245" t="s">
        <v>513</v>
      </c>
      <c r="AH1" s="7"/>
      <c r="AI1" s="245" t="s">
        <v>517</v>
      </c>
      <c r="AJ1" s="7"/>
      <c r="AK1" s="245" t="s">
        <v>528</v>
      </c>
      <c r="AL1" s="7"/>
      <c r="AM1" s="7" t="s">
        <v>540</v>
      </c>
      <c r="AN1" s="7"/>
    </row>
    <row r="2" spans="1:42" x14ac:dyDescent="0.2">
      <c r="B2" s="8" t="s">
        <v>95</v>
      </c>
      <c r="C2" s="8" t="s">
        <v>96</v>
      </c>
      <c r="D2" s="7"/>
      <c r="E2" s="8" t="s">
        <v>97</v>
      </c>
      <c r="F2" s="7"/>
      <c r="G2" s="8" t="s">
        <v>379</v>
      </c>
      <c r="H2" s="7"/>
      <c r="I2" s="8" t="s">
        <v>384</v>
      </c>
      <c r="J2" s="7"/>
      <c r="K2" s="8" t="s">
        <v>387</v>
      </c>
      <c r="L2" s="7"/>
      <c r="M2" s="8" t="s">
        <v>471</v>
      </c>
      <c r="N2" s="7"/>
      <c r="O2" s="8" t="s">
        <v>487</v>
      </c>
      <c r="P2" s="7"/>
      <c r="Q2" s="8" t="s">
        <v>491</v>
      </c>
      <c r="R2" s="7"/>
      <c r="S2" s="257" t="s">
        <v>495</v>
      </c>
      <c r="T2" s="7"/>
      <c r="U2" s="245" t="s">
        <v>497</v>
      </c>
      <c r="V2" s="7"/>
      <c r="W2" s="245" t="s">
        <v>499</v>
      </c>
      <c r="X2" s="7"/>
      <c r="Y2" s="245" t="s">
        <v>503</v>
      </c>
      <c r="Z2" s="7"/>
      <c r="AA2" s="245" t="s">
        <v>505</v>
      </c>
      <c r="AB2" s="7"/>
      <c r="AC2" s="245" t="s">
        <v>508</v>
      </c>
      <c r="AD2" s="7"/>
      <c r="AE2" s="245" t="s">
        <v>510</v>
      </c>
      <c r="AF2" s="7"/>
      <c r="AG2" s="245" t="s">
        <v>514</v>
      </c>
      <c r="AH2" s="7"/>
      <c r="AI2" s="245" t="s">
        <v>518</v>
      </c>
      <c r="AJ2" s="7"/>
      <c r="AK2" s="245" t="s">
        <v>529</v>
      </c>
      <c r="AL2" s="7"/>
      <c r="AM2" s="7" t="s">
        <v>541</v>
      </c>
      <c r="AN2" s="7"/>
    </row>
    <row r="3" spans="1:42" x14ac:dyDescent="0.2">
      <c r="B3" s="9" t="s">
        <v>393</v>
      </c>
      <c r="C3" s="9" t="s">
        <v>393</v>
      </c>
      <c r="D3" s="7" t="s">
        <v>394</v>
      </c>
      <c r="E3" s="9" t="s">
        <v>357</v>
      </c>
      <c r="F3" s="7" t="s">
        <v>394</v>
      </c>
      <c r="G3" s="9" t="s">
        <v>361</v>
      </c>
      <c r="H3" s="7" t="s">
        <v>394</v>
      </c>
      <c r="I3" s="9" t="s">
        <v>361</v>
      </c>
      <c r="J3" s="7" t="s">
        <v>394</v>
      </c>
      <c r="K3" s="283" t="s">
        <v>388</v>
      </c>
      <c r="L3" s="7" t="s">
        <v>394</v>
      </c>
      <c r="M3" s="9" t="s">
        <v>361</v>
      </c>
      <c r="N3" s="7" t="s">
        <v>394</v>
      </c>
      <c r="O3" s="9" t="s">
        <v>361</v>
      </c>
      <c r="P3" s="7" t="s">
        <v>394</v>
      </c>
      <c r="Q3" s="9" t="s">
        <v>361</v>
      </c>
      <c r="R3" s="7" t="s">
        <v>394</v>
      </c>
      <c r="S3" s="258" t="s">
        <v>361</v>
      </c>
      <c r="T3" s="7" t="s">
        <v>394</v>
      </c>
      <c r="U3" s="244" t="s">
        <v>361</v>
      </c>
      <c r="V3" s="7" t="s">
        <v>394</v>
      </c>
      <c r="W3" s="244" t="s">
        <v>361</v>
      </c>
      <c r="X3" s="7" t="s">
        <v>394</v>
      </c>
      <c r="Y3" s="244" t="s">
        <v>361</v>
      </c>
      <c r="Z3" s="7" t="s">
        <v>394</v>
      </c>
      <c r="AA3" s="244" t="s">
        <v>361</v>
      </c>
      <c r="AB3" s="7" t="s">
        <v>394</v>
      </c>
      <c r="AC3" s="244" t="s">
        <v>361</v>
      </c>
      <c r="AD3" s="7" t="s">
        <v>394</v>
      </c>
      <c r="AE3" s="283" t="s">
        <v>388</v>
      </c>
      <c r="AF3" s="7" t="s">
        <v>394</v>
      </c>
      <c r="AG3" s="244" t="s">
        <v>361</v>
      </c>
      <c r="AH3" s="7" t="s">
        <v>394</v>
      </c>
      <c r="AI3" s="244" t="s">
        <v>424</v>
      </c>
      <c r="AJ3" s="7" t="s">
        <v>394</v>
      </c>
      <c r="AK3" s="244" t="s">
        <v>424</v>
      </c>
      <c r="AL3" s="7" t="s">
        <v>394</v>
      </c>
      <c r="AM3" s="7" t="s">
        <v>424</v>
      </c>
      <c r="AN3" s="7" t="s">
        <v>542</v>
      </c>
      <c r="AO3" s="136" t="s">
        <v>395</v>
      </c>
      <c r="AP3" s="144" t="s">
        <v>397</v>
      </c>
    </row>
    <row r="4" spans="1:42" x14ac:dyDescent="0.2">
      <c r="B4" s="11" t="s">
        <v>99</v>
      </c>
      <c r="C4" s="11" t="s">
        <v>99</v>
      </c>
      <c r="D4" s="10" t="s">
        <v>101</v>
      </c>
      <c r="E4" s="11" t="s">
        <v>99</v>
      </c>
      <c r="F4" s="10" t="s">
        <v>101</v>
      </c>
      <c r="G4" s="11" t="s">
        <v>99</v>
      </c>
      <c r="H4" s="10" t="s">
        <v>101</v>
      </c>
      <c r="I4" s="11" t="s">
        <v>99</v>
      </c>
      <c r="J4" s="10" t="s">
        <v>101</v>
      </c>
      <c r="K4" s="11" t="s">
        <v>99</v>
      </c>
      <c r="L4" s="10" t="s">
        <v>101</v>
      </c>
      <c r="M4" s="11" t="s">
        <v>99</v>
      </c>
      <c r="N4" s="10" t="s">
        <v>101</v>
      </c>
      <c r="O4" s="11" t="s">
        <v>99</v>
      </c>
      <c r="P4" s="10" t="s">
        <v>101</v>
      </c>
      <c r="Q4" s="11" t="s">
        <v>99</v>
      </c>
      <c r="R4" s="10" t="s">
        <v>101</v>
      </c>
      <c r="S4" s="259" t="s">
        <v>99</v>
      </c>
      <c r="T4" s="10" t="s">
        <v>101</v>
      </c>
      <c r="U4" s="246" t="s">
        <v>99</v>
      </c>
      <c r="V4" s="10" t="s">
        <v>101</v>
      </c>
      <c r="W4" s="246" t="s">
        <v>99</v>
      </c>
      <c r="X4" s="10" t="s">
        <v>101</v>
      </c>
      <c r="Y4" s="246" t="s">
        <v>99</v>
      </c>
      <c r="Z4" s="10" t="s">
        <v>101</v>
      </c>
      <c r="AA4" s="246" t="s">
        <v>99</v>
      </c>
      <c r="AB4" s="10" t="s">
        <v>101</v>
      </c>
      <c r="AC4" s="246" t="s">
        <v>99</v>
      </c>
      <c r="AD4" s="10" t="s">
        <v>101</v>
      </c>
      <c r="AE4" s="246" t="s">
        <v>99</v>
      </c>
      <c r="AF4" s="10" t="s">
        <v>101</v>
      </c>
      <c r="AG4" s="246" t="s">
        <v>99</v>
      </c>
      <c r="AH4" s="10" t="s">
        <v>101</v>
      </c>
      <c r="AI4" s="246" t="s">
        <v>99</v>
      </c>
      <c r="AJ4" s="10" t="s">
        <v>101</v>
      </c>
      <c r="AK4" s="246" t="s">
        <v>99</v>
      </c>
      <c r="AL4" s="10" t="s">
        <v>101</v>
      </c>
      <c r="AM4" s="10" t="s">
        <v>99</v>
      </c>
      <c r="AN4" s="10" t="s">
        <v>101</v>
      </c>
      <c r="AO4" s="137" t="s">
        <v>396</v>
      </c>
      <c r="AP4" s="270" t="s">
        <v>358</v>
      </c>
    </row>
    <row r="5" spans="1:42" x14ac:dyDescent="0.2">
      <c r="A5" s="3" t="s">
        <v>6</v>
      </c>
      <c r="B5" s="5">
        <v>46770</v>
      </c>
      <c r="C5" s="5">
        <v>48860</v>
      </c>
      <c r="D5" s="138">
        <f>(C5-B5)/B5</f>
        <v>4.4686765020312165E-2</v>
      </c>
      <c r="E5" s="5">
        <v>50410</v>
      </c>
      <c r="F5" s="138">
        <f>(E5-C5)/C5</f>
        <v>3.1723291035611952E-2</v>
      </c>
      <c r="G5" s="5">
        <v>51860</v>
      </c>
      <c r="H5" s="138">
        <f>(G5-E5)/E5</f>
        <v>2.8764134100376908E-2</v>
      </c>
      <c r="I5" s="5">
        <v>52620</v>
      </c>
      <c r="J5" s="138">
        <f>(I5-G5)/G5</f>
        <v>1.4654839953721558E-2</v>
      </c>
      <c r="K5" s="5">
        <v>52457</v>
      </c>
      <c r="L5" s="138">
        <f>(K5-I5)/I5</f>
        <v>-3.0976814899277842E-3</v>
      </c>
      <c r="M5" s="5">
        <v>54171</v>
      </c>
      <c r="N5" s="138">
        <f>(M5-K5)/K5</f>
        <v>3.2674380921516671E-2</v>
      </c>
      <c r="O5" s="5">
        <v>54843.800890411498</v>
      </c>
      <c r="P5" s="138">
        <f>(O5-M5)/M5</f>
        <v>1.2419945919615618E-2</v>
      </c>
      <c r="Q5" s="5">
        <v>55220</v>
      </c>
      <c r="R5" s="138">
        <f>(Q5-O5)/O5</f>
        <v>6.859464579054628E-3</v>
      </c>
      <c r="S5" s="260">
        <v>56146</v>
      </c>
      <c r="T5" s="138">
        <f>(S5-Q5)/Q5</f>
        <v>1.6769286490402029E-2</v>
      </c>
      <c r="U5" s="236">
        <v>57104</v>
      </c>
      <c r="V5" s="138">
        <f>(U5-S5)/S5</f>
        <v>1.7062658070031704E-2</v>
      </c>
      <c r="W5" s="236">
        <v>57701</v>
      </c>
      <c r="X5" s="138">
        <f>(W5-U5)/U5</f>
        <v>1.0454609134211264E-2</v>
      </c>
      <c r="Y5" s="236">
        <v>57723.241903999995</v>
      </c>
      <c r="Z5" s="138">
        <f>(Y5-W5)/W5</f>
        <v>3.8546825878225634E-4</v>
      </c>
      <c r="AA5" s="236">
        <v>57600.057780848969</v>
      </c>
      <c r="AB5" s="138">
        <f>(AA5-Y5)/Y5</f>
        <v>-2.1340472067714888E-3</v>
      </c>
      <c r="AC5" s="236">
        <v>56506</v>
      </c>
      <c r="AD5" s="138">
        <f>(AC5-AA5)/AA5</f>
        <v>-1.8994039641618627E-2</v>
      </c>
      <c r="AE5" s="236">
        <v>55274</v>
      </c>
      <c r="AF5" s="138">
        <f>(AE5-AC5)/AC5</f>
        <v>-2.180299437227905E-2</v>
      </c>
      <c r="AG5" s="236">
        <v>56066</v>
      </c>
      <c r="AH5" s="138">
        <f>(AG5-AE5)/AE5</f>
        <v>1.4328617433151211E-2</v>
      </c>
      <c r="AI5" s="236">
        <v>55441</v>
      </c>
      <c r="AJ5" s="138">
        <f>(AI5-AG5)/AG5</f>
        <v>-1.1147576071059109E-2</v>
      </c>
      <c r="AK5" s="236">
        <v>54668</v>
      </c>
      <c r="AL5" s="138">
        <f>(AK5-AI5)/AI5</f>
        <v>-1.394274995039772E-2</v>
      </c>
      <c r="AM5" s="236">
        <v>53968.826786594262</v>
      </c>
      <c r="AN5" s="138">
        <f>(AM5-AK5)/AK5</f>
        <v>-1.2789441966154575E-2</v>
      </c>
      <c r="AO5" s="135" t="str">
        <f>IF(MAX(AL5,AN5,AJ5)&lt;0,"YES"," ")</f>
        <v>YES</v>
      </c>
      <c r="AP5" s="271">
        <f>AVERAGE(AN5,AL5,AJ5,AH5,AF5)</f>
        <v>-9.070828985347848E-3</v>
      </c>
    </row>
    <row r="6" spans="1:42" x14ac:dyDescent="0.2">
      <c r="A6" s="3" t="s">
        <v>103</v>
      </c>
      <c r="B6" s="5"/>
      <c r="C6" s="5"/>
      <c r="D6" s="138"/>
      <c r="E6" s="5"/>
      <c r="F6" s="138"/>
      <c r="G6" s="5"/>
      <c r="H6" s="138"/>
      <c r="J6" s="138"/>
      <c r="L6" s="138"/>
      <c r="N6" s="138"/>
      <c r="P6" s="138"/>
      <c r="R6" s="138"/>
      <c r="S6" s="260"/>
      <c r="T6" s="138"/>
      <c r="V6" s="138"/>
      <c r="X6" s="138"/>
      <c r="Z6" s="138"/>
      <c r="AB6" s="138"/>
      <c r="AD6" s="138"/>
      <c r="AF6" s="138"/>
      <c r="AH6" s="138"/>
      <c r="AJ6" s="138"/>
      <c r="AL6" s="138"/>
      <c r="AM6" s="138"/>
      <c r="AN6" s="138"/>
      <c r="AP6" s="271"/>
    </row>
    <row r="7" spans="1:42" x14ac:dyDescent="0.2">
      <c r="A7" s="3" t="s">
        <v>104</v>
      </c>
      <c r="B7" s="5"/>
      <c r="C7" s="5"/>
      <c r="D7" s="138"/>
      <c r="E7" s="5"/>
      <c r="F7" s="138"/>
      <c r="G7" s="5"/>
      <c r="H7" s="138"/>
      <c r="J7" s="138"/>
      <c r="L7" s="138"/>
      <c r="N7" s="138"/>
      <c r="P7" s="138"/>
      <c r="R7" s="138"/>
      <c r="S7" s="260"/>
      <c r="T7" s="138"/>
      <c r="V7" s="138"/>
      <c r="X7" s="138"/>
      <c r="Z7" s="138"/>
      <c r="AB7" s="138"/>
      <c r="AD7" s="138"/>
      <c r="AF7" s="138"/>
      <c r="AH7" s="138"/>
      <c r="AJ7" s="138"/>
      <c r="AL7" s="138"/>
      <c r="AM7" s="138"/>
      <c r="AN7" s="138"/>
      <c r="AP7" s="271"/>
    </row>
    <row r="8" spans="1:42" x14ac:dyDescent="0.2">
      <c r="B8" s="5"/>
      <c r="C8" s="5"/>
      <c r="D8" s="138"/>
      <c r="E8" s="5"/>
      <c r="F8" s="138"/>
      <c r="G8" s="5"/>
      <c r="H8" s="138"/>
      <c r="J8" s="138"/>
      <c r="L8" s="138"/>
      <c r="N8" s="138"/>
      <c r="P8" s="138"/>
      <c r="R8" s="138"/>
      <c r="S8" s="260"/>
      <c r="T8" s="138"/>
      <c r="V8" s="138"/>
      <c r="X8" s="138"/>
      <c r="Z8" s="138"/>
      <c r="AB8" s="138"/>
      <c r="AD8" s="138"/>
      <c r="AF8" s="138"/>
      <c r="AH8" s="138"/>
      <c r="AJ8" s="138"/>
      <c r="AL8" s="138"/>
      <c r="AM8" s="138"/>
      <c r="AN8" s="138"/>
      <c r="AP8" s="271"/>
    </row>
    <row r="9" spans="1:42" x14ac:dyDescent="0.2">
      <c r="B9" s="5"/>
      <c r="C9" s="5"/>
      <c r="D9" s="138"/>
      <c r="E9" s="5"/>
      <c r="F9" s="138"/>
      <c r="G9" s="5"/>
      <c r="H9" s="138"/>
      <c r="J9" s="138"/>
      <c r="L9" s="138"/>
      <c r="N9" s="138"/>
      <c r="P9" s="138"/>
      <c r="R9" s="138"/>
      <c r="S9" s="260"/>
      <c r="T9" s="138"/>
      <c r="V9" s="138"/>
      <c r="X9" s="138"/>
      <c r="Z9" s="138"/>
      <c r="AB9" s="138"/>
      <c r="AD9" s="138"/>
      <c r="AF9" s="138"/>
      <c r="AH9" s="138"/>
      <c r="AJ9" s="138"/>
      <c r="AL9" s="138"/>
      <c r="AM9" s="138"/>
      <c r="AN9" s="138"/>
      <c r="AP9" s="271"/>
    </row>
    <row r="10" spans="1:42" x14ac:dyDescent="0.2">
      <c r="A10" s="3" t="s">
        <v>105</v>
      </c>
      <c r="B10" s="5"/>
      <c r="C10" s="5"/>
      <c r="D10" s="138"/>
      <c r="E10" s="5"/>
      <c r="F10" s="138"/>
      <c r="G10" s="5"/>
      <c r="H10" s="138"/>
      <c r="J10" s="138"/>
      <c r="L10" s="138"/>
      <c r="N10" s="138"/>
      <c r="P10" s="138"/>
      <c r="R10" s="138"/>
      <c r="S10" s="260"/>
      <c r="T10" s="138"/>
      <c r="V10" s="138"/>
      <c r="X10" s="138"/>
      <c r="Z10" s="138"/>
      <c r="AB10" s="138"/>
      <c r="AD10" s="138"/>
      <c r="AF10" s="138"/>
      <c r="AH10" s="138"/>
      <c r="AJ10" s="138"/>
      <c r="AL10" s="138"/>
      <c r="AM10" s="138"/>
      <c r="AN10" s="138"/>
      <c r="AP10" s="271"/>
    </row>
    <row r="11" spans="1:42" x14ac:dyDescent="0.2">
      <c r="A11" s="3" t="s">
        <v>106</v>
      </c>
      <c r="B11" s="5">
        <v>21640</v>
      </c>
      <c r="C11" s="5">
        <v>22580</v>
      </c>
      <c r="D11" s="138">
        <f>(C11-B11)/B11</f>
        <v>4.3438077634011092E-2</v>
      </c>
      <c r="E11" s="5">
        <v>23860</v>
      </c>
      <c r="F11" s="138">
        <f>(E11-C11)/C11</f>
        <v>5.6687333923826397E-2</v>
      </c>
      <c r="G11" s="5">
        <v>24020</v>
      </c>
      <c r="H11" s="138">
        <f>(G11-E11)/E11</f>
        <v>6.7057837384744343E-3</v>
      </c>
      <c r="I11" s="5">
        <v>25310</v>
      </c>
      <c r="J11" s="138">
        <f>(I11-G11)/G11</f>
        <v>5.3705245628642796E-2</v>
      </c>
      <c r="K11" s="5">
        <v>23982</v>
      </c>
      <c r="L11" s="138">
        <f>(K11-I11)/I11</f>
        <v>-5.2469379691821416E-2</v>
      </c>
      <c r="M11" s="5">
        <v>24928</v>
      </c>
      <c r="N11" s="138">
        <f>(M11-K11)/K11</f>
        <v>3.9446251355183051E-2</v>
      </c>
      <c r="O11" s="5">
        <v>25116.303084891337</v>
      </c>
      <c r="P11" s="138">
        <f>(O11-M11)/M11</f>
        <v>7.5538785659233299E-3</v>
      </c>
      <c r="Q11" s="5">
        <v>25808</v>
      </c>
      <c r="R11" s="138">
        <f>(Q11-O11)/O11</f>
        <v>2.753975825067791E-2</v>
      </c>
      <c r="S11" s="260">
        <v>26106</v>
      </c>
      <c r="T11" s="138">
        <f>(S11-Q11)/Q11</f>
        <v>1.1546807191568505E-2</v>
      </c>
      <c r="U11" s="260">
        <v>26585</v>
      </c>
      <c r="V11" s="138">
        <f>(U11-S11)/S11</f>
        <v>1.8348272427794375E-2</v>
      </c>
      <c r="W11" s="260">
        <v>27371</v>
      </c>
      <c r="X11" s="138">
        <f>(W11-U11)/U11</f>
        <v>2.9565544479969907E-2</v>
      </c>
      <c r="Y11" s="236">
        <v>27189.793240041428</v>
      </c>
      <c r="Z11" s="138">
        <f>(Y11-W11)/W11</f>
        <v>-6.6203923845884931E-3</v>
      </c>
      <c r="AA11" s="236">
        <v>26980.891807616143</v>
      </c>
      <c r="AB11" s="138">
        <f>(AA11-Y11)/Y11</f>
        <v>-7.6830827870233353E-3</v>
      </c>
      <c r="AC11" s="236">
        <v>26858.532335721873</v>
      </c>
      <c r="AD11" s="138">
        <f>(AC11-AA11)/AA11</f>
        <v>-4.5350417905656477E-3</v>
      </c>
      <c r="AE11" s="236">
        <v>24877</v>
      </c>
      <c r="AF11" s="138">
        <f>(AE11-AC11)/AC11</f>
        <v>-7.3776642407464427E-2</v>
      </c>
      <c r="AG11" s="236">
        <v>25136</v>
      </c>
      <c r="AH11" s="138">
        <f>(AG11-AE11)/AE11</f>
        <v>1.041122321823371E-2</v>
      </c>
      <c r="AI11" s="236">
        <v>25238</v>
      </c>
      <c r="AJ11" s="138">
        <f>(AI11-AG11)/AG11</f>
        <v>4.0579248886059831E-3</v>
      </c>
      <c r="AK11" s="236">
        <v>25322</v>
      </c>
      <c r="AL11" s="138">
        <f>(AK11-AI11)/AI11</f>
        <v>3.3283144464696093E-3</v>
      </c>
      <c r="AM11" s="236">
        <v>25103.329195774852</v>
      </c>
      <c r="AN11" s="138">
        <f>(AM11-AK11)/AK11</f>
        <v>-8.6356055692736935E-3</v>
      </c>
      <c r="AO11" s="135" t="str">
        <f t="shared" ref="AO11:AO24" si="0">IF(MAX(AL11,AN11,AJ11)&lt;0,"YES"," ")</f>
        <v xml:space="preserve"> </v>
      </c>
      <c r="AP11" s="271">
        <f t="shared" ref="AP11:AP47" si="1">AVERAGE(AN11,AL11,AJ11,AH11,AF11)</f>
        <v>-1.2922957084685762E-2</v>
      </c>
    </row>
    <row r="12" spans="1:42" x14ac:dyDescent="0.2">
      <c r="A12" s="3" t="s">
        <v>107</v>
      </c>
      <c r="B12" s="5">
        <v>7450</v>
      </c>
      <c r="C12" s="5">
        <v>7730</v>
      </c>
      <c r="D12" s="138">
        <f>(C12-B12)/B12</f>
        <v>3.7583892617449662E-2</v>
      </c>
      <c r="E12" s="5">
        <v>7810</v>
      </c>
      <c r="F12" s="138">
        <f>(E12-C12)/C12</f>
        <v>1.034928848641656E-2</v>
      </c>
      <c r="G12" s="5">
        <v>7910</v>
      </c>
      <c r="H12" s="138">
        <f>(G12-E12)/E12</f>
        <v>1.2804097311139564E-2</v>
      </c>
      <c r="I12" s="5">
        <v>8280</v>
      </c>
      <c r="J12" s="138">
        <f>(I12-G12)/G12</f>
        <v>4.6776232616940583E-2</v>
      </c>
      <c r="K12" s="5">
        <v>7536</v>
      </c>
      <c r="L12" s="138">
        <f>(K12-I12)/I12</f>
        <v>-8.9855072463768115E-2</v>
      </c>
      <c r="M12" s="5">
        <v>8162</v>
      </c>
      <c r="N12" s="138">
        <f>(M12-K12)/K12</f>
        <v>8.3067940552016981E-2</v>
      </c>
      <c r="O12" s="5">
        <v>8177.539735899587</v>
      </c>
      <c r="P12" s="138">
        <f>(O12-M12)/M12</f>
        <v>1.9039127541762998E-3</v>
      </c>
      <c r="Q12" s="5">
        <v>8301</v>
      </c>
      <c r="R12" s="138">
        <f>(Q12-O12)/O12</f>
        <v>1.5097482627741894E-2</v>
      </c>
      <c r="S12" s="260">
        <v>8398</v>
      </c>
      <c r="T12" s="138">
        <f>(S12-Q12)/Q12</f>
        <v>1.1685339115769184E-2</v>
      </c>
      <c r="U12" s="260">
        <v>8339</v>
      </c>
      <c r="V12" s="138">
        <f>(U12-S12)/S12</f>
        <v>-7.0254822576804E-3</v>
      </c>
      <c r="W12" s="260">
        <v>8298.9828212166049</v>
      </c>
      <c r="X12" s="138">
        <f>(W12-U12)/U12</f>
        <v>-4.7987982711830118E-3</v>
      </c>
      <c r="Y12" s="236">
        <v>8452.1717126530257</v>
      </c>
      <c r="Z12" s="138">
        <f>(Y12-W12)/W12</f>
        <v>1.845875509523754E-2</v>
      </c>
      <c r="AA12" s="236">
        <v>9258.07137477984</v>
      </c>
      <c r="AB12" s="138">
        <f>(AA12-Y12)/Y12</f>
        <v>9.5348235876510964E-2</v>
      </c>
      <c r="AC12" s="236">
        <v>9114.6227897053559</v>
      </c>
      <c r="AD12" s="138">
        <f>(AC12-AA12)/AA12</f>
        <v>-1.5494434992719564E-2</v>
      </c>
      <c r="AE12" s="236">
        <v>8606</v>
      </c>
      <c r="AF12" s="138">
        <f>(AE12-AC12)/AC12</f>
        <v>-5.5802944503619757E-2</v>
      </c>
      <c r="AG12" s="236">
        <v>8609</v>
      </c>
      <c r="AH12" s="138">
        <f>(AG12-AE12)/AE12</f>
        <v>3.4859400418312805E-4</v>
      </c>
      <c r="AI12" s="236">
        <v>8706</v>
      </c>
      <c r="AJ12" s="138">
        <f>(AI12-AG12)/AG12</f>
        <v>1.126727842955047E-2</v>
      </c>
      <c r="AK12" s="236">
        <v>8706</v>
      </c>
      <c r="AL12" s="138">
        <f>(AK12-AI12)/AI12</f>
        <v>0</v>
      </c>
      <c r="AM12" s="236">
        <v>8645.0084141799216</v>
      </c>
      <c r="AN12" s="138">
        <f>(AM12-AK12)/AK12</f>
        <v>-7.0056955915550655E-3</v>
      </c>
      <c r="AO12" s="135" t="str">
        <f t="shared" si="0"/>
        <v xml:space="preserve"> </v>
      </c>
      <c r="AP12" s="271">
        <f t="shared" si="1"/>
        <v>-1.0238553532288244E-2</v>
      </c>
    </row>
    <row r="13" spans="1:42" x14ac:dyDescent="0.2">
      <c r="A13" s="3" t="s">
        <v>103</v>
      </c>
      <c r="B13" s="5"/>
      <c r="C13" s="5"/>
      <c r="D13" s="138"/>
      <c r="E13" s="5"/>
      <c r="F13" s="138"/>
      <c r="G13" s="5"/>
      <c r="H13" s="138"/>
      <c r="J13" s="138"/>
      <c r="L13" s="138"/>
      <c r="N13" s="138"/>
      <c r="P13" s="138"/>
      <c r="R13" s="138"/>
      <c r="S13" s="260"/>
      <c r="T13" s="138"/>
      <c r="V13" s="138"/>
      <c r="X13" s="138"/>
      <c r="Z13" s="138"/>
      <c r="AB13" s="138"/>
      <c r="AD13" s="138"/>
      <c r="AF13" s="138"/>
      <c r="AH13" s="138"/>
      <c r="AJ13" s="138"/>
      <c r="AL13" s="138"/>
      <c r="AM13" s="138"/>
      <c r="AN13" s="138"/>
      <c r="AP13" s="271"/>
    </row>
    <row r="14" spans="1:42" x14ac:dyDescent="0.2">
      <c r="A14" s="3" t="s">
        <v>108</v>
      </c>
      <c r="B14" s="5"/>
      <c r="C14" s="5"/>
      <c r="D14" s="138"/>
      <c r="E14" s="5"/>
      <c r="F14" s="138"/>
      <c r="G14" s="5"/>
      <c r="H14" s="138"/>
      <c r="J14" s="138"/>
      <c r="L14" s="138"/>
      <c r="N14" s="138"/>
      <c r="P14" s="138"/>
      <c r="R14" s="138"/>
      <c r="S14" s="260"/>
      <c r="T14" s="138"/>
      <c r="V14" s="138"/>
      <c r="X14" s="138"/>
      <c r="Z14" s="138"/>
      <c r="AB14" s="138"/>
      <c r="AD14" s="138"/>
      <c r="AF14" s="138"/>
      <c r="AH14" s="138"/>
      <c r="AJ14" s="138"/>
      <c r="AL14" s="138"/>
      <c r="AM14" s="138"/>
      <c r="AN14" s="138"/>
      <c r="AP14" s="271"/>
    </row>
    <row r="15" spans="1:42" x14ac:dyDescent="0.2">
      <c r="B15" s="5"/>
      <c r="C15" s="5"/>
      <c r="D15" s="138"/>
      <c r="E15" s="5"/>
      <c r="F15" s="138"/>
      <c r="G15" s="5"/>
      <c r="H15" s="138"/>
      <c r="J15" s="138"/>
      <c r="L15" s="138"/>
      <c r="N15" s="138"/>
      <c r="P15" s="138"/>
      <c r="R15" s="138"/>
      <c r="S15" s="260"/>
      <c r="T15" s="138"/>
      <c r="V15" s="138"/>
      <c r="X15" s="138"/>
      <c r="Z15" s="138"/>
      <c r="AB15" s="138"/>
      <c r="AD15" s="138"/>
      <c r="AF15" s="138"/>
      <c r="AH15" s="138"/>
      <c r="AJ15" s="138"/>
      <c r="AL15" s="138"/>
      <c r="AM15" s="138"/>
      <c r="AN15" s="138"/>
      <c r="AP15" s="271"/>
    </row>
    <row r="16" spans="1:42" x14ac:dyDescent="0.2">
      <c r="B16" s="5"/>
      <c r="C16" s="5"/>
      <c r="D16" s="138"/>
      <c r="E16" s="5"/>
      <c r="F16" s="138"/>
      <c r="G16" s="5"/>
      <c r="H16" s="138"/>
      <c r="J16" s="138"/>
      <c r="L16" s="138"/>
      <c r="N16" s="138"/>
      <c r="P16" s="138"/>
      <c r="R16" s="138"/>
      <c r="S16" s="260"/>
      <c r="T16" s="138"/>
      <c r="V16" s="138"/>
      <c r="X16" s="138"/>
      <c r="Z16" s="138"/>
      <c r="AB16" s="138"/>
      <c r="AD16" s="138"/>
      <c r="AF16" s="138"/>
      <c r="AH16" s="138"/>
      <c r="AJ16" s="138"/>
      <c r="AL16" s="138"/>
      <c r="AM16" s="138"/>
      <c r="AN16" s="138"/>
      <c r="AP16" s="271"/>
    </row>
    <row r="17" spans="1:42" x14ac:dyDescent="0.2">
      <c r="A17" s="3" t="s">
        <v>109</v>
      </c>
      <c r="B17" s="5">
        <v>1036290</v>
      </c>
      <c r="C17" s="5">
        <f>1115940+47</f>
        <v>1115987</v>
      </c>
      <c r="D17" s="138">
        <f t="shared" ref="D17:D22" si="2">(C17-B17)/B17</f>
        <v>7.6906078414343479E-2</v>
      </c>
      <c r="E17" s="5">
        <f>1192200+50</f>
        <v>1192250</v>
      </c>
      <c r="F17" s="138">
        <f t="shared" ref="F17:F30" si="3">(E17-C17)/C17</f>
        <v>6.8336817543573541E-2</v>
      </c>
      <c r="G17" s="5">
        <f>1255200+80</f>
        <v>1255280</v>
      </c>
      <c r="H17" s="138">
        <f t="shared" ref="H17:H30" si="4">(G17-E17)/E17</f>
        <v>5.2866429020759068E-2</v>
      </c>
      <c r="I17" s="5">
        <f>1343540+80</f>
        <v>1343620</v>
      </c>
      <c r="J17" s="138">
        <f t="shared" ref="J17:J34" si="5">(I17-G17)/G17</f>
        <v>7.0374737110445479E-2</v>
      </c>
      <c r="K17" s="5">
        <f>1375765+72</f>
        <v>1375837</v>
      </c>
      <c r="L17" s="138">
        <f t="shared" ref="L17:L34" si="6">(K17-I17)/I17</f>
        <v>2.3977761569491374E-2</v>
      </c>
      <c r="M17" s="5">
        <f>1485855</f>
        <v>1485855</v>
      </c>
      <c r="N17" s="138">
        <f t="shared" ref="N17:P34" si="7">(M17-K17)/K17</f>
        <v>7.9964414389204541E-2</v>
      </c>
      <c r="O17" s="5">
        <v>1549657.2902373846</v>
      </c>
      <c r="P17" s="138">
        <f t="shared" si="7"/>
        <v>4.2939782305396294E-2</v>
      </c>
      <c r="Q17" s="5">
        <v>1620748</v>
      </c>
      <c r="R17" s="138">
        <f t="shared" ref="R17:R24" si="8">(Q17-O17)/O17</f>
        <v>4.587511716976167E-2</v>
      </c>
      <c r="S17" s="260">
        <v>1715337</v>
      </c>
      <c r="T17" s="138">
        <f t="shared" ref="T17:T24" si="9">(S17-Q17)/Q17</f>
        <v>5.8361324524232018E-2</v>
      </c>
      <c r="U17" s="236">
        <v>1796379.5</v>
      </c>
      <c r="V17" s="138">
        <f t="shared" ref="V17:V34" si="10">(U17-S17)/S17</f>
        <v>4.7245818168674729E-2</v>
      </c>
      <c r="W17" s="236">
        <v>1874837</v>
      </c>
      <c r="X17" s="138">
        <f t="shared" ref="X17:X24" si="11">(W17-U17)/U17</f>
        <v>4.3675348109906621E-2</v>
      </c>
      <c r="Y17" s="236">
        <v>1954319.01835</v>
      </c>
      <c r="Z17" s="138">
        <f t="shared" ref="Z17:Z24" si="12">(Y17-W17)/W17</f>
        <v>4.2394095246680127E-2</v>
      </c>
      <c r="AA17" s="236">
        <v>1967716.3860500001</v>
      </c>
      <c r="AB17" s="138">
        <f t="shared" ref="AB17:AB24" si="13">(AA17-Y17)/Y17</f>
        <v>6.8552613847616553E-3</v>
      </c>
      <c r="AC17" s="236">
        <v>1952040.3993500005</v>
      </c>
      <c r="AD17" s="138">
        <f t="shared" ref="AD17:AF34" si="14">(AC17-AA17)/AA17</f>
        <v>-7.9665884835505019E-3</v>
      </c>
      <c r="AE17" s="236">
        <v>1951269</v>
      </c>
      <c r="AF17" s="138">
        <f t="shared" si="14"/>
        <v>-3.9517591452380266E-4</v>
      </c>
      <c r="AG17" s="236">
        <v>1967722</v>
      </c>
      <c r="AH17" s="138">
        <f t="shared" ref="AH17:AH24" si="15">(AG17-AE17)/AE17</f>
        <v>8.4319486447024996E-3</v>
      </c>
      <c r="AI17" s="236">
        <v>1988195</v>
      </c>
      <c r="AJ17" s="138">
        <f t="shared" ref="AJ17:AJ24" si="16">(AI17-AG17)/AG17</f>
        <v>1.0404416884092367E-2</v>
      </c>
      <c r="AK17" s="236">
        <v>2031723</v>
      </c>
      <c r="AL17" s="138">
        <f t="shared" ref="AL17:AL24" si="17">(AK17-AI17)/AI17</f>
        <v>2.1893224759140829E-2</v>
      </c>
      <c r="AM17" s="236">
        <v>2069450.2788</v>
      </c>
      <c r="AN17" s="138">
        <f>(AM17-AK17)/AK17</f>
        <v>1.8569105532594735E-2</v>
      </c>
      <c r="AO17" s="135" t="str">
        <f t="shared" si="0"/>
        <v xml:space="preserve"> </v>
      </c>
      <c r="AP17" s="271">
        <f t="shared" si="1"/>
        <v>1.1780703981201327E-2</v>
      </c>
    </row>
    <row r="18" spans="1:42" x14ac:dyDescent="0.2">
      <c r="A18" s="3" t="s">
        <v>110</v>
      </c>
      <c r="B18" s="5">
        <v>13750</v>
      </c>
      <c r="C18" s="5">
        <v>14460</v>
      </c>
      <c r="D18" s="138">
        <f t="shared" si="2"/>
        <v>5.1636363636363633E-2</v>
      </c>
      <c r="E18" s="5">
        <v>14493</v>
      </c>
      <c r="F18" s="138">
        <f t="shared" si="3"/>
        <v>2.2821576763485478E-3</v>
      </c>
      <c r="G18" s="5">
        <v>14730</v>
      </c>
      <c r="H18" s="138">
        <f t="shared" si="4"/>
        <v>1.6352722003725936E-2</v>
      </c>
      <c r="I18" s="5">
        <v>14860</v>
      </c>
      <c r="J18" s="138">
        <f t="shared" si="5"/>
        <v>8.8255261371350986E-3</v>
      </c>
      <c r="K18" s="5">
        <v>14966</v>
      </c>
      <c r="L18" s="138">
        <f t="shared" si="6"/>
        <v>7.1332436069986545E-3</v>
      </c>
      <c r="M18" s="5">
        <v>14760</v>
      </c>
      <c r="N18" s="138">
        <f t="shared" si="7"/>
        <v>-1.3764532941333689E-2</v>
      </c>
      <c r="O18" s="5">
        <v>14842.160782723535</v>
      </c>
      <c r="P18" s="138">
        <f t="shared" si="7"/>
        <v>5.5664486940064225E-3</v>
      </c>
      <c r="Q18" s="5">
        <v>14934</v>
      </c>
      <c r="R18" s="138">
        <f t="shared" si="8"/>
        <v>6.1877255354467814E-3</v>
      </c>
      <c r="S18" s="260">
        <v>15058</v>
      </c>
      <c r="T18" s="138">
        <f t="shared" si="9"/>
        <v>8.3032007499665196E-3</v>
      </c>
      <c r="U18" s="236">
        <v>15203.323739245996</v>
      </c>
      <c r="V18" s="138">
        <f t="shared" si="10"/>
        <v>9.6509323446670181E-3</v>
      </c>
      <c r="W18" s="236">
        <v>15477.680899139539</v>
      </c>
      <c r="X18" s="138">
        <f t="shared" si="11"/>
        <v>1.8045867114262336E-2</v>
      </c>
      <c r="Y18" s="236">
        <v>15863.121010700792</v>
      </c>
      <c r="Z18" s="138">
        <f t="shared" si="12"/>
        <v>2.4902962793520361E-2</v>
      </c>
      <c r="AA18" s="236">
        <v>16683.892148715084</v>
      </c>
      <c r="AB18" s="138">
        <f t="shared" si="13"/>
        <v>5.1740835706959809E-2</v>
      </c>
      <c r="AC18" s="236">
        <v>16064.406482279521</v>
      </c>
      <c r="AD18" s="138">
        <f t="shared" si="14"/>
        <v>-3.7130764267333922E-2</v>
      </c>
      <c r="AE18" s="236">
        <v>15023</v>
      </c>
      <c r="AF18" s="138">
        <f t="shared" si="14"/>
        <v>-6.4826950402947378E-2</v>
      </c>
      <c r="AG18" s="236">
        <v>15335</v>
      </c>
      <c r="AH18" s="138">
        <f t="shared" si="15"/>
        <v>2.0768155494907809E-2</v>
      </c>
      <c r="AI18" s="236">
        <v>15759</v>
      </c>
      <c r="AJ18" s="138">
        <f t="shared" si="16"/>
        <v>2.7649168568633843E-2</v>
      </c>
      <c r="AK18" s="236">
        <v>15635</v>
      </c>
      <c r="AL18" s="138">
        <f t="shared" si="17"/>
        <v>-7.8685195761152363E-3</v>
      </c>
      <c r="AM18" s="236">
        <v>15627.134593448083</v>
      </c>
      <c r="AN18" s="138">
        <f t="shared" ref="AN18:AN34" si="18">(AM18-AK18)/AK18</f>
        <v>-5.0306405832534369E-4</v>
      </c>
      <c r="AO18" s="135" t="str">
        <f t="shared" si="0"/>
        <v xml:space="preserve"> </v>
      </c>
      <c r="AP18" s="271">
        <f t="shared" si="1"/>
        <v>-4.9562419947692619E-3</v>
      </c>
    </row>
    <row r="19" spans="1:42" x14ac:dyDescent="0.2">
      <c r="A19" s="3" t="s">
        <v>111</v>
      </c>
      <c r="B19" s="5">
        <v>118430</v>
      </c>
      <c r="C19" s="5">
        <v>130380</v>
      </c>
      <c r="D19" s="138">
        <f t="shared" si="2"/>
        <v>0.10090348729207127</v>
      </c>
      <c r="E19" s="5">
        <v>149500</v>
      </c>
      <c r="F19" s="138">
        <f t="shared" si="3"/>
        <v>0.14664825893541955</v>
      </c>
      <c r="G19" s="5">
        <v>159380</v>
      </c>
      <c r="H19" s="138">
        <f t="shared" si="4"/>
        <v>6.6086956521739126E-2</v>
      </c>
      <c r="I19" s="5">
        <v>177030</v>
      </c>
      <c r="J19" s="138">
        <f t="shared" si="5"/>
        <v>0.11074162379219475</v>
      </c>
      <c r="K19" s="5">
        <v>175381</v>
      </c>
      <c r="L19" s="138">
        <f t="shared" si="6"/>
        <v>-9.3148054002146537E-3</v>
      </c>
      <c r="M19" s="5">
        <v>196780</v>
      </c>
      <c r="N19" s="138">
        <f t="shared" si="7"/>
        <v>0.12201435731350603</v>
      </c>
      <c r="O19" s="5">
        <v>209485.67894459405</v>
      </c>
      <c r="P19" s="138">
        <f t="shared" si="7"/>
        <v>6.4567938533357308E-2</v>
      </c>
      <c r="Q19" s="5">
        <v>217448</v>
      </c>
      <c r="R19" s="138">
        <f t="shared" si="8"/>
        <v>3.8008903976256378E-2</v>
      </c>
      <c r="S19" s="260">
        <v>229984</v>
      </c>
      <c r="T19" s="138">
        <f t="shared" si="9"/>
        <v>5.7650564732717707E-2</v>
      </c>
      <c r="U19" s="236">
        <v>241133.99459663086</v>
      </c>
      <c r="V19" s="138">
        <f t="shared" si="10"/>
        <v>4.8481610010395762E-2</v>
      </c>
      <c r="W19" s="236">
        <v>251320.98380403529</v>
      </c>
      <c r="X19" s="138">
        <f t="shared" si="11"/>
        <v>4.2246176133088315E-2</v>
      </c>
      <c r="Y19" s="236">
        <v>260161.3569715159</v>
      </c>
      <c r="Z19" s="138">
        <f t="shared" si="12"/>
        <v>3.5175626936005414E-2</v>
      </c>
      <c r="AA19" s="236">
        <v>269538.04402496037</v>
      </c>
      <c r="AB19" s="138">
        <f t="shared" si="13"/>
        <v>3.6041813290784354E-2</v>
      </c>
      <c r="AC19" s="236">
        <v>267687.20346055808</v>
      </c>
      <c r="AD19" s="138">
        <f t="shared" si="14"/>
        <v>-6.866713643699552E-3</v>
      </c>
      <c r="AE19" s="236">
        <v>257729</v>
      </c>
      <c r="AF19" s="138">
        <f t="shared" si="14"/>
        <v>-3.720089467042962E-2</v>
      </c>
      <c r="AG19" s="236">
        <v>264839</v>
      </c>
      <c r="AH19" s="138">
        <f t="shared" si="15"/>
        <v>2.7587116700099716E-2</v>
      </c>
      <c r="AI19" s="236">
        <v>266846</v>
      </c>
      <c r="AJ19" s="138">
        <f t="shared" si="16"/>
        <v>7.5781890129474885E-3</v>
      </c>
      <c r="AK19" s="236">
        <v>274270</v>
      </c>
      <c r="AL19" s="138">
        <f t="shared" si="17"/>
        <v>2.7821290182352368E-2</v>
      </c>
      <c r="AM19" s="236">
        <v>280927.67951915041</v>
      </c>
      <c r="AN19" s="138">
        <f t="shared" si="18"/>
        <v>2.4274180621833983E-2</v>
      </c>
      <c r="AO19" s="135" t="str">
        <f t="shared" si="0"/>
        <v xml:space="preserve"> </v>
      </c>
      <c r="AP19" s="271">
        <f t="shared" si="1"/>
        <v>1.0011976369360786E-2</v>
      </c>
    </row>
    <row r="20" spans="1:42" x14ac:dyDescent="0.2">
      <c r="A20" s="3" t="s">
        <v>112</v>
      </c>
      <c r="B20" s="5">
        <v>373170</v>
      </c>
      <c r="C20" s="5">
        <v>398110</v>
      </c>
      <c r="D20" s="138">
        <f t="shared" si="2"/>
        <v>6.6832810783289121E-2</v>
      </c>
      <c r="E20" s="5">
        <v>418660</v>
      </c>
      <c r="F20" s="138">
        <f t="shared" si="3"/>
        <v>5.161889929918867E-2</v>
      </c>
      <c r="G20" s="5">
        <v>441230</v>
      </c>
      <c r="H20" s="138">
        <f t="shared" si="4"/>
        <v>5.3910094109778817E-2</v>
      </c>
      <c r="I20" s="5">
        <v>465050</v>
      </c>
      <c r="J20" s="138">
        <f t="shared" si="5"/>
        <v>5.3985449765428462E-2</v>
      </c>
      <c r="K20" s="5">
        <v>478434</v>
      </c>
      <c r="L20" s="138">
        <f t="shared" si="6"/>
        <v>2.8779701107407806E-2</v>
      </c>
      <c r="M20" s="5">
        <v>503188</v>
      </c>
      <c r="N20" s="138">
        <f t="shared" si="7"/>
        <v>5.1739633888895853E-2</v>
      </c>
      <c r="O20" s="5">
        <v>514639.50473471946</v>
      </c>
      <c r="P20" s="138">
        <f t="shared" si="7"/>
        <v>2.2757905066733433E-2</v>
      </c>
      <c r="Q20" s="5">
        <v>528617</v>
      </c>
      <c r="R20" s="138">
        <f t="shared" si="8"/>
        <v>2.7159779101072892E-2</v>
      </c>
      <c r="S20" s="260">
        <v>549571</v>
      </c>
      <c r="T20" s="138">
        <f t="shared" si="9"/>
        <v>3.9639285153523253E-2</v>
      </c>
      <c r="U20" s="236">
        <v>569838.22373037902</v>
      </c>
      <c r="V20" s="138">
        <f t="shared" si="10"/>
        <v>3.6878262736532712E-2</v>
      </c>
      <c r="W20" s="236">
        <v>579840.16774710664</v>
      </c>
      <c r="X20" s="138">
        <f t="shared" si="11"/>
        <v>1.755225185009715E-2</v>
      </c>
      <c r="Y20" s="236">
        <v>590321.20028338348</v>
      </c>
      <c r="Z20" s="138">
        <f t="shared" si="12"/>
        <v>1.8075726931784553E-2</v>
      </c>
      <c r="AA20" s="236">
        <v>593528.09921040689</v>
      </c>
      <c r="AB20" s="138">
        <f t="shared" si="13"/>
        <v>5.4324644371300419E-3</v>
      </c>
      <c r="AC20" s="236">
        <v>591422.48650206206</v>
      </c>
      <c r="AD20" s="138">
        <f t="shared" si="14"/>
        <v>-3.5476209317570639E-3</v>
      </c>
      <c r="AE20" s="236">
        <v>583756</v>
      </c>
      <c r="AF20" s="138">
        <f t="shared" si="14"/>
        <v>-1.2962791704801595E-2</v>
      </c>
      <c r="AG20" s="236">
        <v>588274</v>
      </c>
      <c r="AH20" s="138">
        <f t="shared" si="15"/>
        <v>7.7395350112033114E-3</v>
      </c>
      <c r="AI20" s="236">
        <v>589156</v>
      </c>
      <c r="AJ20" s="138">
        <f t="shared" si="16"/>
        <v>1.4993013459714351E-3</v>
      </c>
      <c r="AK20" s="236">
        <v>598520</v>
      </c>
      <c r="AL20" s="138">
        <f t="shared" si="17"/>
        <v>1.5893922831983379E-2</v>
      </c>
      <c r="AM20" s="236">
        <v>610636.85551335406</v>
      </c>
      <c r="AN20" s="138">
        <f t="shared" si="18"/>
        <v>2.024469610598487E-2</v>
      </c>
      <c r="AO20" s="135" t="str">
        <f t="shared" si="0"/>
        <v xml:space="preserve"> </v>
      </c>
      <c r="AP20" s="271">
        <f t="shared" si="1"/>
        <v>6.4829327180682796E-3</v>
      </c>
    </row>
    <row r="21" spans="1:42" x14ac:dyDescent="0.2">
      <c r="A21" s="3" t="s">
        <v>113</v>
      </c>
      <c r="B21" s="5">
        <v>5710</v>
      </c>
      <c r="C21" s="5">
        <v>7460</v>
      </c>
      <c r="D21" s="138">
        <f t="shared" si="2"/>
        <v>0.30647985989492121</v>
      </c>
      <c r="E21" s="5">
        <v>10600</v>
      </c>
      <c r="F21" s="138">
        <f t="shared" si="3"/>
        <v>0.42091152815013405</v>
      </c>
      <c r="G21" s="5">
        <v>12070</v>
      </c>
      <c r="H21" s="138">
        <f t="shared" si="4"/>
        <v>0.13867924528301886</v>
      </c>
      <c r="I21" s="5">
        <v>14070</v>
      </c>
      <c r="J21" s="138">
        <f t="shared" si="5"/>
        <v>0.16570008285004142</v>
      </c>
      <c r="K21" s="5">
        <v>9389</v>
      </c>
      <c r="L21" s="138">
        <f t="shared" si="6"/>
        <v>-0.33269367448471926</v>
      </c>
      <c r="M21" s="5">
        <v>11940</v>
      </c>
      <c r="N21" s="138">
        <f t="shared" si="7"/>
        <v>0.27170092661625306</v>
      </c>
      <c r="O21" s="5">
        <v>13215.941479702748</v>
      </c>
      <c r="P21" s="138">
        <f t="shared" si="7"/>
        <v>0.10686277049436746</v>
      </c>
      <c r="Q21" s="5">
        <v>13895</v>
      </c>
      <c r="R21" s="138">
        <f t="shared" si="8"/>
        <v>5.1381774150571213E-2</v>
      </c>
      <c r="S21" s="260">
        <v>15881</v>
      </c>
      <c r="T21" s="138">
        <f t="shared" si="9"/>
        <v>0.14292911119107593</v>
      </c>
      <c r="U21" s="236">
        <v>16423.190868190508</v>
      </c>
      <c r="V21" s="138">
        <f t="shared" si="10"/>
        <v>3.4140851847522691E-2</v>
      </c>
      <c r="W21" s="236">
        <v>17656.192583398355</v>
      </c>
      <c r="X21" s="138">
        <f t="shared" si="11"/>
        <v>7.5076866919692453E-2</v>
      </c>
      <c r="Y21" s="236">
        <v>18787.055014076206</v>
      </c>
      <c r="Z21" s="138">
        <f t="shared" si="12"/>
        <v>6.4049053913309187E-2</v>
      </c>
      <c r="AA21" s="236">
        <v>19753.772532243183</v>
      </c>
      <c r="AB21" s="138">
        <f t="shared" si="13"/>
        <v>5.1456575681641636E-2</v>
      </c>
      <c r="AC21" s="236">
        <v>20677.466063070653</v>
      </c>
      <c r="AD21" s="138">
        <f t="shared" si="14"/>
        <v>4.6760360802968991E-2</v>
      </c>
      <c r="AE21" s="236">
        <v>15276</v>
      </c>
      <c r="AF21" s="138">
        <f t="shared" si="14"/>
        <v>-0.26122475774328618</v>
      </c>
      <c r="AG21" s="236">
        <v>17038</v>
      </c>
      <c r="AH21" s="138">
        <f t="shared" si="15"/>
        <v>0.11534433097669547</v>
      </c>
      <c r="AI21" s="236">
        <v>16778</v>
      </c>
      <c r="AJ21" s="138">
        <f t="shared" si="16"/>
        <v>-1.5260007043080174E-2</v>
      </c>
      <c r="AK21" s="236">
        <v>17477</v>
      </c>
      <c r="AL21" s="138">
        <f t="shared" si="17"/>
        <v>4.1661699845035163E-2</v>
      </c>
      <c r="AM21" s="236">
        <v>18261.876120706675</v>
      </c>
      <c r="AN21" s="138">
        <f t="shared" si="18"/>
        <v>4.4909087412409142E-2</v>
      </c>
      <c r="AO21" s="135" t="str">
        <f t="shared" si="0"/>
        <v xml:space="preserve"> </v>
      </c>
      <c r="AP21" s="271">
        <f t="shared" si="1"/>
        <v>-1.4913929310445318E-2</v>
      </c>
    </row>
    <row r="22" spans="1:42" x14ac:dyDescent="0.2">
      <c r="A22" s="3" t="s">
        <v>114</v>
      </c>
      <c r="B22" s="12">
        <v>79210</v>
      </c>
      <c r="C22" s="12">
        <v>83830</v>
      </c>
      <c r="D22" s="138">
        <f t="shared" si="2"/>
        <v>5.8325968943315237E-2</v>
      </c>
      <c r="E22" s="5">
        <v>93940</v>
      </c>
      <c r="F22" s="138">
        <f t="shared" si="3"/>
        <v>0.12060121674818085</v>
      </c>
      <c r="G22" s="5">
        <v>106660</v>
      </c>
      <c r="H22" s="138">
        <f t="shared" si="4"/>
        <v>0.13540557802852884</v>
      </c>
      <c r="I22" s="5">
        <v>117250</v>
      </c>
      <c r="J22" s="138">
        <f t="shared" si="5"/>
        <v>9.9287455465966623E-2</v>
      </c>
      <c r="K22" s="5">
        <v>115488</v>
      </c>
      <c r="L22" s="138">
        <f t="shared" si="6"/>
        <v>-1.502771855010661E-2</v>
      </c>
      <c r="M22" s="5">
        <v>127897</v>
      </c>
      <c r="N22" s="138">
        <f t="shared" si="7"/>
        <v>0.10744839290662234</v>
      </c>
      <c r="O22" s="5">
        <v>135967.3996069787</v>
      </c>
      <c r="P22" s="138">
        <f t="shared" si="7"/>
        <v>6.3100773333062507E-2</v>
      </c>
      <c r="Q22" s="5">
        <v>146005</v>
      </c>
      <c r="R22" s="138">
        <f t="shared" si="8"/>
        <v>7.382358140286234E-2</v>
      </c>
      <c r="S22" s="260">
        <v>164971</v>
      </c>
      <c r="T22" s="138">
        <f t="shared" si="9"/>
        <v>0.1298996609705147</v>
      </c>
      <c r="U22" s="236">
        <v>180218.7967083563</v>
      </c>
      <c r="V22" s="138">
        <f t="shared" si="10"/>
        <v>9.2427133910543663E-2</v>
      </c>
      <c r="W22" s="236">
        <v>198515.94612507347</v>
      </c>
      <c r="X22" s="138">
        <f t="shared" si="11"/>
        <v>0.10152741973040143</v>
      </c>
      <c r="Y22" s="236">
        <v>210471.93826913871</v>
      </c>
      <c r="Z22" s="138">
        <f t="shared" si="12"/>
        <v>6.0226860246946901E-2</v>
      </c>
      <c r="AA22" s="236">
        <v>214661.17304847756</v>
      </c>
      <c r="AB22" s="138">
        <f t="shared" si="13"/>
        <v>1.9904006271762028E-2</v>
      </c>
      <c r="AC22" s="236">
        <v>215021.5189477586</v>
      </c>
      <c r="AD22" s="138">
        <f t="shared" si="14"/>
        <v>1.6786729251668433E-3</v>
      </c>
      <c r="AE22" s="236">
        <v>216961</v>
      </c>
      <c r="AF22" s="138">
        <f t="shared" si="14"/>
        <v>9.0199393145977119E-3</v>
      </c>
      <c r="AG22" s="236">
        <v>223873</v>
      </c>
      <c r="AH22" s="138">
        <f t="shared" si="15"/>
        <v>3.1858260240319687E-2</v>
      </c>
      <c r="AI22" s="236">
        <v>222009</v>
      </c>
      <c r="AJ22" s="138">
        <f t="shared" si="16"/>
        <v>-8.3261492006628766E-3</v>
      </c>
      <c r="AK22" s="236">
        <v>226199</v>
      </c>
      <c r="AL22" s="138">
        <f t="shared" si="17"/>
        <v>1.8873108747843557E-2</v>
      </c>
      <c r="AM22" s="236">
        <v>230491.03089847445</v>
      </c>
      <c r="AN22" s="138">
        <f t="shared" si="18"/>
        <v>1.8974579456471727E-2</v>
      </c>
      <c r="AO22" s="135" t="str">
        <f t="shared" si="0"/>
        <v xml:space="preserve"> </v>
      </c>
      <c r="AP22" s="271">
        <f t="shared" si="1"/>
        <v>1.4079947711713961E-2</v>
      </c>
    </row>
    <row r="23" spans="1:42" x14ac:dyDescent="0.2">
      <c r="A23" s="3" t="s">
        <v>115</v>
      </c>
      <c r="B23" s="12"/>
      <c r="C23" s="12">
        <v>575</v>
      </c>
      <c r="D23" s="138"/>
      <c r="E23" s="12">
        <v>610</v>
      </c>
      <c r="F23" s="138">
        <f t="shared" si="3"/>
        <v>6.0869565217391307E-2</v>
      </c>
      <c r="G23" s="12">
        <v>850</v>
      </c>
      <c r="H23" s="138">
        <f t="shared" si="4"/>
        <v>0.39344262295081966</v>
      </c>
      <c r="I23" s="12">
        <v>880</v>
      </c>
      <c r="J23" s="138">
        <f t="shared" si="5"/>
        <v>3.5294117647058823E-2</v>
      </c>
      <c r="K23" s="12">
        <v>877.25252854013127</v>
      </c>
      <c r="L23" s="138">
        <f t="shared" si="6"/>
        <v>-3.1221266589417434E-3</v>
      </c>
      <c r="M23" s="12">
        <v>1147</v>
      </c>
      <c r="N23" s="138">
        <f t="shared" si="7"/>
        <v>0.30749124417887469</v>
      </c>
      <c r="O23" s="12">
        <v>1179.873949908872</v>
      </c>
      <c r="P23" s="138">
        <f t="shared" si="7"/>
        <v>2.8660810731361782E-2</v>
      </c>
      <c r="Q23" s="12">
        <v>1165</v>
      </c>
      <c r="R23" s="138">
        <f t="shared" si="8"/>
        <v>-1.2606388936734098E-2</v>
      </c>
      <c r="S23" s="260">
        <v>1185</v>
      </c>
      <c r="T23" s="138">
        <f t="shared" si="9"/>
        <v>1.7167381974248927E-2</v>
      </c>
      <c r="U23" s="267">
        <v>1198.1014542999219</v>
      </c>
      <c r="V23" s="138">
        <f t="shared" si="10"/>
        <v>1.1056079577993162E-2</v>
      </c>
      <c r="W23" s="267">
        <v>1178.6542011870602</v>
      </c>
      <c r="X23" s="138">
        <f t="shared" si="11"/>
        <v>-1.6231724820186633E-2</v>
      </c>
      <c r="Y23" s="236">
        <v>1255.0527812780695</v>
      </c>
      <c r="Z23" s="138">
        <f t="shared" si="12"/>
        <v>6.4818485365823048E-2</v>
      </c>
      <c r="AA23" s="236">
        <v>1159.8345345268785</v>
      </c>
      <c r="AB23" s="138">
        <f t="shared" si="13"/>
        <v>-7.5867922187484768E-2</v>
      </c>
      <c r="AC23" s="236">
        <v>1221.6382268538091</v>
      </c>
      <c r="AD23" s="138">
        <f t="shared" si="14"/>
        <v>5.3286646057785832E-2</v>
      </c>
      <c r="AE23" s="236">
        <v>1244</v>
      </c>
      <c r="AF23" s="138">
        <f t="shared" si="14"/>
        <v>1.8304742479924776E-2</v>
      </c>
      <c r="AG23" s="236">
        <v>1199</v>
      </c>
      <c r="AH23" s="138">
        <f t="shared" si="15"/>
        <v>-3.6173633440514469E-2</v>
      </c>
      <c r="AI23" s="236">
        <v>1084</v>
      </c>
      <c r="AJ23" s="138">
        <f t="shared" si="16"/>
        <v>-9.5913261050875734E-2</v>
      </c>
      <c r="AK23" s="236">
        <v>1067</v>
      </c>
      <c r="AL23" s="138">
        <f t="shared" si="17"/>
        <v>-1.5682656826568265E-2</v>
      </c>
      <c r="AM23" s="236">
        <v>1038.6545507586363</v>
      </c>
      <c r="AN23" s="138">
        <f t="shared" si="18"/>
        <v>-2.6565556927238675E-2</v>
      </c>
      <c r="AO23" s="135" t="str">
        <f t="shared" si="0"/>
        <v>YES</v>
      </c>
      <c r="AP23" s="271">
        <f t="shared" si="1"/>
        <v>-3.1206073153054469E-2</v>
      </c>
    </row>
    <row r="24" spans="1:42" x14ac:dyDescent="0.2">
      <c r="A24" s="3" t="s">
        <v>116</v>
      </c>
      <c r="B24" s="12"/>
      <c r="C24" s="12">
        <v>10404</v>
      </c>
      <c r="D24" s="138"/>
      <c r="E24" s="12">
        <v>11120</v>
      </c>
      <c r="F24" s="138">
        <f t="shared" si="3"/>
        <v>6.8819684736639755E-2</v>
      </c>
      <c r="G24" s="12">
        <v>13210</v>
      </c>
      <c r="H24" s="138">
        <f t="shared" si="4"/>
        <v>0.18794964028776978</v>
      </c>
      <c r="I24" s="12">
        <v>18060</v>
      </c>
      <c r="J24" s="138">
        <f t="shared" si="5"/>
        <v>0.36714610143830434</v>
      </c>
      <c r="K24" s="12">
        <v>21137.837819960943</v>
      </c>
      <c r="L24" s="138">
        <f t="shared" si="6"/>
        <v>0.17042291361909986</v>
      </c>
      <c r="M24" s="12">
        <v>34017</v>
      </c>
      <c r="N24" s="138">
        <f t="shared" si="7"/>
        <v>0.60929420926283051</v>
      </c>
      <c r="O24" s="12">
        <v>46193.312659723168</v>
      </c>
      <c r="P24" s="138">
        <f t="shared" si="7"/>
        <v>0.35794786899853509</v>
      </c>
      <c r="Q24" s="12">
        <v>62001</v>
      </c>
      <c r="R24" s="138">
        <f t="shared" si="8"/>
        <v>0.34220726832738835</v>
      </c>
      <c r="S24" s="260">
        <v>79299</v>
      </c>
      <c r="T24" s="138">
        <f t="shared" si="9"/>
        <v>0.27899550007257945</v>
      </c>
      <c r="U24" s="267">
        <v>95377.186292592625</v>
      </c>
      <c r="V24" s="138">
        <f t="shared" si="10"/>
        <v>0.20275396023395786</v>
      </c>
      <c r="W24" s="267">
        <v>119100.00748592298</v>
      </c>
      <c r="X24" s="138">
        <f t="shared" si="11"/>
        <v>0.24872636859463282</v>
      </c>
      <c r="Y24" s="236">
        <v>143916.95235987133</v>
      </c>
      <c r="Z24" s="138">
        <f t="shared" si="12"/>
        <v>0.20837064075652209</v>
      </c>
      <c r="AA24" s="236">
        <v>149712.89372539756</v>
      </c>
      <c r="AB24" s="138">
        <f t="shared" si="13"/>
        <v>4.0272818945145526E-2</v>
      </c>
      <c r="AC24" s="236">
        <v>150472.53577208408</v>
      </c>
      <c r="AD24" s="138">
        <f t="shared" si="14"/>
        <v>5.073992144456539E-3</v>
      </c>
      <c r="AE24" s="236">
        <v>163811</v>
      </c>
      <c r="AF24" s="138">
        <f t="shared" si="14"/>
        <v>8.8643845599300983E-2</v>
      </c>
      <c r="AG24" s="236">
        <v>160632</v>
      </c>
      <c r="AH24" s="138">
        <f t="shared" si="15"/>
        <v>-1.9406511162254062E-2</v>
      </c>
      <c r="AI24" s="236">
        <v>162872</v>
      </c>
      <c r="AJ24" s="138">
        <f t="shared" si="16"/>
        <v>1.3944917575576473E-2</v>
      </c>
      <c r="AK24" s="236">
        <v>170699</v>
      </c>
      <c r="AL24" s="138">
        <f t="shared" si="17"/>
        <v>4.8056142246672234E-2</v>
      </c>
      <c r="AM24" s="236">
        <v>174063.78248235874</v>
      </c>
      <c r="AN24" s="138">
        <f t="shared" si="18"/>
        <v>1.9711787897754195E-2</v>
      </c>
      <c r="AO24" s="135" t="str">
        <f t="shared" si="0"/>
        <v xml:space="preserve"> </v>
      </c>
      <c r="AP24" s="271">
        <f t="shared" si="1"/>
        <v>3.0190036431409967E-2</v>
      </c>
    </row>
    <row r="25" spans="1:42" x14ac:dyDescent="0.2">
      <c r="A25" s="3" t="s">
        <v>117</v>
      </c>
      <c r="B25" s="12"/>
      <c r="C25" s="12"/>
      <c r="D25" s="138"/>
      <c r="E25" s="12"/>
      <c r="F25" s="138"/>
      <c r="G25" s="12"/>
      <c r="H25" s="138"/>
      <c r="I25" s="12"/>
      <c r="J25" s="138"/>
      <c r="K25" s="12"/>
      <c r="L25" s="138"/>
      <c r="M25" s="12"/>
      <c r="N25" s="138"/>
      <c r="O25" s="12">
        <v>0</v>
      </c>
      <c r="P25" s="138"/>
      <c r="Q25" s="12"/>
      <c r="R25" s="138"/>
      <c r="S25" s="260"/>
      <c r="T25" s="138"/>
      <c r="U25" s="267"/>
      <c r="V25" s="138"/>
      <c r="W25" s="267"/>
      <c r="X25" s="138"/>
      <c r="Z25" s="138"/>
      <c r="AB25" s="138"/>
      <c r="AD25" s="138"/>
      <c r="AF25" s="138"/>
      <c r="AH25" s="138"/>
      <c r="AJ25" s="138"/>
      <c r="AL25" s="138"/>
      <c r="AM25" s="236"/>
      <c r="AN25" s="138"/>
      <c r="AO25" s="135" t="str">
        <f>IF(MAX(AL25,AN25,AJ25)&lt;0,"YES"," ")</f>
        <v xml:space="preserve"> </v>
      </c>
      <c r="AP25" s="271"/>
    </row>
    <row r="26" spans="1:42" x14ac:dyDescent="0.2">
      <c r="A26" s="3" t="s">
        <v>118</v>
      </c>
      <c r="B26" s="12"/>
      <c r="C26" s="12">
        <v>6584</v>
      </c>
      <c r="D26" s="138"/>
      <c r="E26" s="12">
        <v>7030</v>
      </c>
      <c r="F26" s="138">
        <f t="shared" si="3"/>
        <v>6.7739975698663427E-2</v>
      </c>
      <c r="G26" s="12">
        <v>7790</v>
      </c>
      <c r="H26" s="138">
        <f t="shared" si="4"/>
        <v>0.10810810810810811</v>
      </c>
      <c r="I26" s="12">
        <v>7900</v>
      </c>
      <c r="J26" s="138">
        <f t="shared" si="5"/>
        <v>1.4120667522464698E-2</v>
      </c>
      <c r="K26" s="12">
        <v>7799.9401549671375</v>
      </c>
      <c r="L26" s="138">
        <f t="shared" si="6"/>
        <v>-1.2665803168716776E-2</v>
      </c>
      <c r="M26" s="12">
        <v>6181</v>
      </c>
      <c r="N26" s="138">
        <f t="shared" si="7"/>
        <v>-0.20755802260048986</v>
      </c>
      <c r="O26" s="12">
        <v>6402.7367622372412</v>
      </c>
      <c r="P26" s="138">
        <f t="shared" si="7"/>
        <v>3.5873930146779039E-2</v>
      </c>
      <c r="Q26" s="12">
        <v>6951.8641875958328</v>
      </c>
      <c r="R26" s="138">
        <f t="shared" ref="R26:R34" si="19">(Q26-O26)/O26</f>
        <v>8.5764485680138405E-2</v>
      </c>
      <c r="S26" s="260">
        <v>8105</v>
      </c>
      <c r="T26" s="138">
        <f t="shared" ref="T26:T34" si="20">(S26-Q26)/Q26</f>
        <v>0.16587432971744473</v>
      </c>
      <c r="U26" s="267">
        <v>8226.4356668074743</v>
      </c>
      <c r="V26" s="138">
        <f t="shared" si="10"/>
        <v>1.4982808983031988E-2</v>
      </c>
      <c r="W26" s="267">
        <v>8457.6979519068773</v>
      </c>
      <c r="X26" s="138">
        <f t="shared" ref="X26:X34" si="21">(W26-U26)/U26</f>
        <v>2.8112088207595694E-2</v>
      </c>
      <c r="Y26" s="236">
        <v>8807.073487768841</v>
      </c>
      <c r="Z26" s="138">
        <f t="shared" ref="Z26:Z34" si="22">(Y26-W26)/W26</f>
        <v>4.1308585131394217E-2</v>
      </c>
      <c r="AA26" s="236">
        <v>8761.4403433974167</v>
      </c>
      <c r="AB26" s="138">
        <f t="shared" ref="AB26:AB34" si="23">(AA26-Y26)/Y26</f>
        <v>-5.1814197343532011E-3</v>
      </c>
      <c r="AC26" s="236">
        <v>7913.6489111914489</v>
      </c>
      <c r="AD26" s="138">
        <f t="shared" si="14"/>
        <v>-9.6763933665868052E-2</v>
      </c>
      <c r="AE26" s="236">
        <v>7797</v>
      </c>
      <c r="AF26" s="138">
        <f t="shared" si="14"/>
        <v>-1.4740218134580681E-2</v>
      </c>
      <c r="AG26" s="236">
        <v>7166</v>
      </c>
      <c r="AH26" s="138">
        <f t="shared" ref="AH26:AH34" si="24">(AG26-AE26)/AE26</f>
        <v>-8.0928562267538792E-2</v>
      </c>
      <c r="AI26" s="236">
        <v>8414</v>
      </c>
      <c r="AJ26" s="138">
        <f t="shared" ref="AJ26:AJ34" si="25">(AI26-AG26)/AG26</f>
        <v>0.1741557354172481</v>
      </c>
      <c r="AK26" s="236">
        <v>8835</v>
      </c>
      <c r="AL26" s="138">
        <f t="shared" ref="AL26:AL34" si="26">(AK26-AI26)/AI26</f>
        <v>5.0035654860946042E-2</v>
      </c>
      <c r="AM26" s="236">
        <v>8963.325291244324</v>
      </c>
      <c r="AN26" s="138">
        <f t="shared" si="18"/>
        <v>1.4524650961440184E-2</v>
      </c>
      <c r="AO26" s="135" t="str">
        <f t="shared" ref="AO26:AO89" si="27">IF(MAX(AL26,AN26,AJ26)&lt;0,"YES"," ")</f>
        <v xml:space="preserve"> </v>
      </c>
      <c r="AP26" s="271">
        <f t="shared" si="1"/>
        <v>2.8609452167502974E-2</v>
      </c>
    </row>
    <row r="27" spans="1:42" x14ac:dyDescent="0.2">
      <c r="A27" s="3" t="s">
        <v>119</v>
      </c>
      <c r="B27" s="12"/>
      <c r="C27" s="12">
        <v>4264</v>
      </c>
      <c r="D27" s="138"/>
      <c r="E27" s="12">
        <v>4560</v>
      </c>
      <c r="F27" s="138">
        <f t="shared" si="3"/>
        <v>6.9418386491557224E-2</v>
      </c>
      <c r="G27" s="12">
        <v>5370</v>
      </c>
      <c r="H27" s="138">
        <f t="shared" si="4"/>
        <v>0.17763157894736842</v>
      </c>
      <c r="I27" s="12">
        <v>5620</v>
      </c>
      <c r="J27" s="138">
        <f t="shared" si="5"/>
        <v>4.6554934823091247E-2</v>
      </c>
      <c r="K27" s="12">
        <v>8769.6364186772498</v>
      </c>
      <c r="L27" s="138">
        <f t="shared" si="6"/>
        <v>0.56043352645502664</v>
      </c>
      <c r="M27" s="12">
        <v>5672</v>
      </c>
      <c r="N27" s="138">
        <f t="shared" si="7"/>
        <v>-0.35322290124594191</v>
      </c>
      <c r="O27" s="12">
        <v>6276.5457330982172</v>
      </c>
      <c r="P27" s="138">
        <f t="shared" si="7"/>
        <v>0.1065842265687971</v>
      </c>
      <c r="Q27" s="12">
        <v>6323</v>
      </c>
      <c r="R27" s="138">
        <f t="shared" si="19"/>
        <v>7.4012472587931194E-3</v>
      </c>
      <c r="S27" s="260">
        <v>6549</v>
      </c>
      <c r="T27" s="138">
        <f t="shared" si="20"/>
        <v>3.5742527281353791E-2</v>
      </c>
      <c r="U27" s="267">
        <v>6725.5934651782572</v>
      </c>
      <c r="V27" s="138">
        <f t="shared" si="10"/>
        <v>2.696495116479726E-2</v>
      </c>
      <c r="W27" s="267">
        <v>6845.4507129700341</v>
      </c>
      <c r="X27" s="138">
        <f t="shared" si="21"/>
        <v>1.7821066410323116E-2</v>
      </c>
      <c r="Y27" s="236">
        <v>8085.3048422753964</v>
      </c>
      <c r="Z27" s="138">
        <f t="shared" si="22"/>
        <v>0.18112089054358657</v>
      </c>
      <c r="AA27" s="236">
        <v>7133.6294173381093</v>
      </c>
      <c r="AB27" s="138">
        <f t="shared" si="23"/>
        <v>-0.1177043344069465</v>
      </c>
      <c r="AC27" s="236">
        <v>7268.7365821219528</v>
      </c>
      <c r="AD27" s="138">
        <f t="shared" si="14"/>
        <v>1.8939470622831748E-2</v>
      </c>
      <c r="AE27" s="236">
        <v>7429</v>
      </c>
      <c r="AF27" s="138">
        <f t="shared" si="14"/>
        <v>2.2048318310533922E-2</v>
      </c>
      <c r="AG27" s="236">
        <v>7647</v>
      </c>
      <c r="AH27" s="138">
        <f t="shared" si="24"/>
        <v>2.9344460896486742E-2</v>
      </c>
      <c r="AI27" s="236">
        <v>6868</v>
      </c>
      <c r="AJ27" s="138">
        <f t="shared" si="25"/>
        <v>-0.10187001438472604</v>
      </c>
      <c r="AK27" s="236">
        <v>6871</v>
      </c>
      <c r="AL27" s="138">
        <f t="shared" si="26"/>
        <v>4.3680838672102506E-4</v>
      </c>
      <c r="AM27" s="236">
        <v>6851.4957369383083</v>
      </c>
      <c r="AN27" s="138">
        <f t="shared" si="18"/>
        <v>-2.8386352876861804E-3</v>
      </c>
      <c r="AO27" s="135" t="str">
        <f t="shared" si="27"/>
        <v xml:space="preserve"> </v>
      </c>
      <c r="AP27" s="271">
        <f t="shared" si="1"/>
        <v>-1.0575812415734107E-2</v>
      </c>
    </row>
    <row r="28" spans="1:42" x14ac:dyDescent="0.2">
      <c r="A28" s="3" t="s">
        <v>120</v>
      </c>
      <c r="B28" s="12"/>
      <c r="C28" s="12">
        <v>167086</v>
      </c>
      <c r="D28" s="138"/>
      <c r="E28" s="12">
        <v>178500</v>
      </c>
      <c r="F28" s="138">
        <f t="shared" si="3"/>
        <v>6.8312126689249852E-2</v>
      </c>
      <c r="G28" s="12">
        <v>164170</v>
      </c>
      <c r="H28" s="138">
        <f t="shared" si="4"/>
        <v>-8.0280112044817928E-2</v>
      </c>
      <c r="I28" s="12">
        <v>172360</v>
      </c>
      <c r="J28" s="138">
        <f t="shared" si="5"/>
        <v>4.9887311932752636E-2</v>
      </c>
      <c r="K28" s="12">
        <v>166260.05770321065</v>
      </c>
      <c r="L28" s="138">
        <f t="shared" si="6"/>
        <v>-3.5390707222031491E-2</v>
      </c>
      <c r="M28" s="12">
        <v>184870</v>
      </c>
      <c r="N28" s="138">
        <f t="shared" si="7"/>
        <v>0.11193273089084205</v>
      </c>
      <c r="O28" s="12">
        <v>187745.81371587768</v>
      </c>
      <c r="P28" s="138">
        <f t="shared" si="7"/>
        <v>1.5555870156746258E-2</v>
      </c>
      <c r="Q28" s="12">
        <v>185304</v>
      </c>
      <c r="R28" s="138">
        <f t="shared" si="19"/>
        <v>-1.3005955592559647E-2</v>
      </c>
      <c r="S28" s="260">
        <v>188768</v>
      </c>
      <c r="T28" s="138">
        <f t="shared" si="20"/>
        <v>1.8693606182273455E-2</v>
      </c>
      <c r="U28" s="267">
        <v>191649.7332921559</v>
      </c>
      <c r="V28" s="138">
        <f t="shared" si="10"/>
        <v>1.5266005319523962E-2</v>
      </c>
      <c r="W28" s="267">
        <v>186369.5332515171</v>
      </c>
      <c r="X28" s="138">
        <f t="shared" si="21"/>
        <v>-2.7551303880968724E-2</v>
      </c>
      <c r="Y28" s="236">
        <v>185935.40100567706</v>
      </c>
      <c r="Z28" s="138">
        <f t="shared" si="22"/>
        <v>-2.3294163926147254E-3</v>
      </c>
      <c r="AA28" s="236">
        <v>182264.46536866223</v>
      </c>
      <c r="AB28" s="138">
        <f t="shared" si="23"/>
        <v>-1.9743069997212356E-2</v>
      </c>
      <c r="AC28" s="236">
        <v>178974.34000037218</v>
      </c>
      <c r="AD28" s="138">
        <f t="shared" si="14"/>
        <v>-1.8051381335551033E-2</v>
      </c>
      <c r="AE28" s="236">
        <v>183651</v>
      </c>
      <c r="AF28" s="138">
        <f t="shared" si="14"/>
        <v>2.6130338011684236E-2</v>
      </c>
      <c r="AG28" s="236">
        <v>181635</v>
      </c>
      <c r="AH28" s="138">
        <f t="shared" si="24"/>
        <v>-1.0977342894947482E-2</v>
      </c>
      <c r="AI28" s="236">
        <v>184745</v>
      </c>
      <c r="AJ28" s="138">
        <f t="shared" si="25"/>
        <v>1.7122250667547554E-2</v>
      </c>
      <c r="AK28" s="236">
        <v>187949</v>
      </c>
      <c r="AL28" s="138">
        <f t="shared" si="26"/>
        <v>1.7342823892392216E-2</v>
      </c>
      <c r="AM28" s="236">
        <v>191046.86889567741</v>
      </c>
      <c r="AN28" s="138">
        <f t="shared" si="18"/>
        <v>1.6482497356609574E-2</v>
      </c>
      <c r="AO28" s="135" t="str">
        <f t="shared" si="27"/>
        <v xml:space="preserve"> </v>
      </c>
      <c r="AP28" s="271">
        <f t="shared" si="1"/>
        <v>1.3220113406657222E-2</v>
      </c>
    </row>
    <row r="29" spans="1:42" x14ac:dyDescent="0.2">
      <c r="A29" s="3" t="s">
        <v>121</v>
      </c>
      <c r="B29" s="12"/>
      <c r="C29" s="12">
        <v>758</v>
      </c>
      <c r="D29" s="138"/>
      <c r="E29" s="12">
        <v>810</v>
      </c>
      <c r="F29" s="138">
        <f t="shared" si="3"/>
        <v>6.860158311345646E-2</v>
      </c>
      <c r="G29" s="12">
        <v>740</v>
      </c>
      <c r="H29" s="138">
        <f t="shared" si="4"/>
        <v>-8.6419753086419748E-2</v>
      </c>
      <c r="I29" s="12">
        <v>740</v>
      </c>
      <c r="J29" s="138">
        <f t="shared" si="5"/>
        <v>0</v>
      </c>
      <c r="K29" s="12">
        <v>740.51283693453433</v>
      </c>
      <c r="L29" s="138">
        <f t="shared" si="6"/>
        <v>6.9302288450585729E-4</v>
      </c>
      <c r="M29" s="12">
        <v>735</v>
      </c>
      <c r="N29" s="138">
        <f t="shared" si="7"/>
        <v>-7.444620348994303E-3</v>
      </c>
      <c r="O29" s="12">
        <v>821.52293211407789</v>
      </c>
      <c r="P29" s="138">
        <f t="shared" si="7"/>
        <v>0.11771827498513998</v>
      </c>
      <c r="Q29" s="12">
        <v>1073</v>
      </c>
      <c r="R29" s="138">
        <f t="shared" si="19"/>
        <v>0.3061108315488893</v>
      </c>
      <c r="S29" s="260">
        <v>1106</v>
      </c>
      <c r="T29" s="138">
        <f t="shared" si="20"/>
        <v>3.0754892823858342E-2</v>
      </c>
      <c r="U29" s="267">
        <v>1088.2837322294915</v>
      </c>
      <c r="V29" s="138">
        <f t="shared" si="10"/>
        <v>-1.6018325289790657E-2</v>
      </c>
      <c r="W29" s="267">
        <v>764.32336890761849</v>
      </c>
      <c r="X29" s="138">
        <f t="shared" si="21"/>
        <v>-0.29768005688939031</v>
      </c>
      <c r="Y29" s="236">
        <v>798.23151932311066</v>
      </c>
      <c r="Z29" s="138">
        <f t="shared" si="22"/>
        <v>4.4363618587188E-2</v>
      </c>
      <c r="AA29" s="236">
        <v>749.73586745181512</v>
      </c>
      <c r="AB29" s="138">
        <f t="shared" si="23"/>
        <v>-6.0753867389775812E-2</v>
      </c>
      <c r="AC29" s="236">
        <v>718.40601091640428</v>
      </c>
      <c r="AD29" s="138">
        <f t="shared" si="14"/>
        <v>-4.1787858758703958E-2</v>
      </c>
      <c r="AE29" s="236">
        <v>736</v>
      </c>
      <c r="AF29" s="138">
        <f t="shared" si="14"/>
        <v>2.4490314413088899E-2</v>
      </c>
      <c r="AG29" s="236">
        <v>571</v>
      </c>
      <c r="AH29" s="138">
        <f t="shared" si="24"/>
        <v>-0.22418478260869565</v>
      </c>
      <c r="AI29" s="236">
        <v>395</v>
      </c>
      <c r="AJ29" s="138">
        <f t="shared" si="25"/>
        <v>-0.30823117338003503</v>
      </c>
      <c r="AK29" s="236">
        <v>397</v>
      </c>
      <c r="AL29" s="138">
        <f t="shared" si="26"/>
        <v>5.0632911392405064E-3</v>
      </c>
      <c r="AM29" s="236">
        <v>344.48960930917627</v>
      </c>
      <c r="AN29" s="138">
        <f t="shared" si="18"/>
        <v>-0.13226798662676001</v>
      </c>
      <c r="AO29" s="135" t="str">
        <f t="shared" si="27"/>
        <v xml:space="preserve"> </v>
      </c>
      <c r="AP29" s="271">
        <f t="shared" si="1"/>
        <v>-0.12702606741263225</v>
      </c>
    </row>
    <row r="30" spans="1:42" x14ac:dyDescent="0.2">
      <c r="A30" s="3" t="s">
        <v>122</v>
      </c>
      <c r="B30" s="12"/>
      <c r="C30" s="12">
        <v>94467</v>
      </c>
      <c r="D30" s="138"/>
      <c r="E30" s="12">
        <v>100920</v>
      </c>
      <c r="F30" s="138">
        <f t="shared" si="3"/>
        <v>6.830956842071835E-2</v>
      </c>
      <c r="G30" s="12">
        <v>107100</v>
      </c>
      <c r="H30" s="138">
        <f t="shared" si="4"/>
        <v>6.1236623067776455E-2</v>
      </c>
      <c r="I30" s="12">
        <v>120200</v>
      </c>
      <c r="J30" s="138">
        <f t="shared" si="5"/>
        <v>0.12231559290382819</v>
      </c>
      <c r="K30" s="12">
        <v>125606.96220663685</v>
      </c>
      <c r="L30" s="138">
        <f t="shared" si="6"/>
        <v>4.4983046644233332E-2</v>
      </c>
      <c r="M30" s="12">
        <v>133469</v>
      </c>
      <c r="N30" s="138">
        <f t="shared" si="7"/>
        <v>6.2592372709637412E-2</v>
      </c>
      <c r="O30" s="12">
        <v>139289.82239176717</v>
      </c>
      <c r="P30" s="138">
        <f t="shared" si="7"/>
        <v>4.3611792938938417E-2</v>
      </c>
      <c r="Q30" s="12">
        <v>150402</v>
      </c>
      <c r="R30" s="138">
        <f t="shared" si="19"/>
        <v>7.9777383712778871E-2</v>
      </c>
      <c r="S30" s="260">
        <v>161286</v>
      </c>
      <c r="T30" s="138">
        <f t="shared" si="20"/>
        <v>7.2366058961981894E-2</v>
      </c>
      <c r="U30" s="267">
        <v>165335.03264684678</v>
      </c>
      <c r="V30" s="138">
        <f t="shared" si="10"/>
        <v>2.5104675215745834E-2</v>
      </c>
      <c r="W30" s="267">
        <v>172109.8447684111</v>
      </c>
      <c r="X30" s="138">
        <f t="shared" si="21"/>
        <v>4.0976265060746191E-2</v>
      </c>
      <c r="Y30" s="236">
        <v>176814.57173716929</v>
      </c>
      <c r="Z30" s="138">
        <f t="shared" si="22"/>
        <v>2.7335606368646775E-2</v>
      </c>
      <c r="AA30" s="236">
        <v>176910.44000192668</v>
      </c>
      <c r="AB30" s="138">
        <f t="shared" si="23"/>
        <v>5.4219662901931938E-4</v>
      </c>
      <c r="AC30" s="236">
        <v>174458.00812337408</v>
      </c>
      <c r="AD30" s="138">
        <f t="shared" si="14"/>
        <v>-1.3862561635853084E-2</v>
      </c>
      <c r="AE30" s="236">
        <v>175136</v>
      </c>
      <c r="AF30" s="138">
        <f t="shared" si="14"/>
        <v>3.8862754649041731E-3</v>
      </c>
      <c r="AG30" s="236">
        <v>172483</v>
      </c>
      <c r="AH30" s="138">
        <f t="shared" si="24"/>
        <v>-1.5148227663073268E-2</v>
      </c>
      <c r="AI30" s="236">
        <v>184910</v>
      </c>
      <c r="AJ30" s="138">
        <f t="shared" si="25"/>
        <v>7.2047680061223418E-2</v>
      </c>
      <c r="AK30" s="236">
        <v>188818</v>
      </c>
      <c r="AL30" s="138">
        <f t="shared" si="26"/>
        <v>2.1134606024552485E-2</v>
      </c>
      <c r="AM30" s="236">
        <v>191341.58136244505</v>
      </c>
      <c r="AN30" s="138">
        <f t="shared" si="18"/>
        <v>1.3365152487819238E-2</v>
      </c>
      <c r="AO30" s="135" t="str">
        <f t="shared" si="27"/>
        <v xml:space="preserve"> </v>
      </c>
      <c r="AP30" s="271">
        <f t="shared" si="1"/>
        <v>1.905709727508521E-2</v>
      </c>
    </row>
    <row r="31" spans="1:42" x14ac:dyDescent="0.2">
      <c r="A31" s="3" t="s">
        <v>123</v>
      </c>
      <c r="B31" s="12"/>
      <c r="C31" s="12">
        <v>0</v>
      </c>
      <c r="D31" s="138"/>
      <c r="E31" s="12">
        <v>0</v>
      </c>
      <c r="F31" s="138"/>
      <c r="G31" s="12">
        <v>730</v>
      </c>
      <c r="H31" s="138"/>
      <c r="I31" s="12">
        <v>2700</v>
      </c>
      <c r="J31" s="138">
        <f t="shared" si="5"/>
        <v>2.6986301369863015</v>
      </c>
      <c r="K31" s="12">
        <v>4675.1493151068462</v>
      </c>
      <c r="L31" s="138">
        <f t="shared" si="6"/>
        <v>0.73153678337290595</v>
      </c>
      <c r="M31" s="12">
        <v>7708</v>
      </c>
      <c r="N31" s="138">
        <f t="shared" si="7"/>
        <v>0.64871739499165937</v>
      </c>
      <c r="O31" s="12">
        <v>12239.156376644429</v>
      </c>
      <c r="P31" s="138">
        <f t="shared" si="7"/>
        <v>0.58785111269388024</v>
      </c>
      <c r="Q31" s="12">
        <v>16300</v>
      </c>
      <c r="R31" s="138">
        <f t="shared" si="19"/>
        <v>0.33179113808078659</v>
      </c>
      <c r="S31" s="260">
        <v>17841</v>
      </c>
      <c r="T31" s="138">
        <f t="shared" si="20"/>
        <v>9.4539877300613501E-2</v>
      </c>
      <c r="U31" s="267">
        <v>20255.928303333279</v>
      </c>
      <c r="V31" s="138">
        <f t="shared" si="10"/>
        <v>0.13535834893410006</v>
      </c>
      <c r="W31" s="267">
        <v>21691.657352386439</v>
      </c>
      <c r="X31" s="138">
        <f t="shared" si="21"/>
        <v>7.0879449588933358E-2</v>
      </c>
      <c r="Y31" s="236">
        <v>26414.730380649591</v>
      </c>
      <c r="Z31" s="138">
        <f t="shared" si="22"/>
        <v>0.21773684470188887</v>
      </c>
      <c r="AA31" s="236">
        <v>27992.16586861862</v>
      </c>
      <c r="AB31" s="138">
        <f t="shared" si="23"/>
        <v>5.9718023437581529E-2</v>
      </c>
      <c r="AC31" s="236">
        <v>28341.555889245265</v>
      </c>
      <c r="AD31" s="138">
        <f t="shared" si="14"/>
        <v>1.248170728433478E-2</v>
      </c>
      <c r="AE31" s="236">
        <v>29402</v>
      </c>
      <c r="AF31" s="138">
        <f t="shared" si="14"/>
        <v>3.7416580617479114E-2</v>
      </c>
      <c r="AG31" s="236">
        <v>25141</v>
      </c>
      <c r="AH31" s="138">
        <f t="shared" si="24"/>
        <v>-0.1449221141418951</v>
      </c>
      <c r="AI31" s="236">
        <v>25260</v>
      </c>
      <c r="AJ31" s="138">
        <f t="shared" si="25"/>
        <v>4.7333041645121511E-3</v>
      </c>
      <c r="AK31" s="236">
        <v>26855</v>
      </c>
      <c r="AL31" s="138">
        <f t="shared" si="26"/>
        <v>6.314330958036421E-2</v>
      </c>
      <c r="AM31" s="236">
        <v>27244.456204000948</v>
      </c>
      <c r="AN31" s="138">
        <f t="shared" si="18"/>
        <v>1.4502185961681168E-2</v>
      </c>
      <c r="AO31" s="135" t="str">
        <f t="shared" si="27"/>
        <v xml:space="preserve"> </v>
      </c>
      <c r="AP31" s="271">
        <f t="shared" si="1"/>
        <v>-5.025346763571692E-3</v>
      </c>
    </row>
    <row r="32" spans="1:42" x14ac:dyDescent="0.2">
      <c r="A32" s="3" t="s">
        <v>124</v>
      </c>
      <c r="B32" s="12"/>
      <c r="C32" s="12">
        <v>130323</v>
      </c>
      <c r="D32" s="138"/>
      <c r="E32" s="12">
        <v>139230</v>
      </c>
      <c r="F32" s="138">
        <f>(E32-C32)/C32</f>
        <v>6.8345572155337125E-2</v>
      </c>
      <c r="G32" s="12">
        <v>147680</v>
      </c>
      <c r="H32" s="138">
        <f>(G32-E32)/E32</f>
        <v>6.069094304388422E-2</v>
      </c>
      <c r="I32" s="12">
        <v>152900</v>
      </c>
      <c r="J32" s="138">
        <f t="shared" si="5"/>
        <v>3.5346695557963166E-2</v>
      </c>
      <c r="K32" s="12">
        <v>154615.99889409181</v>
      </c>
      <c r="L32" s="138">
        <f t="shared" si="6"/>
        <v>1.1223014349848345E-2</v>
      </c>
      <c r="M32" s="12">
        <v>172237</v>
      </c>
      <c r="N32" s="138">
        <f t="shared" si="7"/>
        <v>0.11396622103756639</v>
      </c>
      <c r="O32" s="12">
        <v>176586.82954282736</v>
      </c>
      <c r="P32" s="138">
        <f t="shared" si="7"/>
        <v>2.525490773078581E-2</v>
      </c>
      <c r="Q32" s="12">
        <v>181354</v>
      </c>
      <c r="R32" s="138">
        <f t="shared" si="19"/>
        <v>2.699618351784536E-2</v>
      </c>
      <c r="S32" s="260">
        <v>184801</v>
      </c>
      <c r="T32" s="138">
        <f t="shared" si="20"/>
        <v>1.9007024934658182E-2</v>
      </c>
      <c r="U32" s="267">
        <v>186511.05537833774</v>
      </c>
      <c r="V32" s="138">
        <f t="shared" si="10"/>
        <v>9.2534963465443366E-3</v>
      </c>
      <c r="W32" s="267">
        <v>191857.56294605954</v>
      </c>
      <c r="X32" s="138">
        <f t="shared" si="21"/>
        <v>2.8665901637178585E-2</v>
      </c>
      <c r="Y32" s="236">
        <v>191966.37900349524</v>
      </c>
      <c r="Z32" s="138">
        <f t="shared" si="22"/>
        <v>5.6717106047206485E-4</v>
      </c>
      <c r="AA32" s="236">
        <v>185745.25165876109</v>
      </c>
      <c r="AB32" s="138">
        <f t="shared" si="23"/>
        <v>-3.2407379755914865E-2</v>
      </c>
      <c r="AC32" s="236">
        <v>179808.22845219015</v>
      </c>
      <c r="AD32" s="138">
        <f t="shared" si="14"/>
        <v>-3.1963256953012449E-2</v>
      </c>
      <c r="AE32" s="236">
        <v>173643</v>
      </c>
      <c r="AF32" s="138">
        <f t="shared" si="14"/>
        <v>-3.4287799314086674E-2</v>
      </c>
      <c r="AG32" s="236">
        <v>191007</v>
      </c>
      <c r="AH32" s="138">
        <f t="shared" si="24"/>
        <v>9.999827231734075E-2</v>
      </c>
      <c r="AI32" s="236">
        <v>196570</v>
      </c>
      <c r="AJ32" s="138">
        <f t="shared" si="25"/>
        <v>2.9124587057018852E-2</v>
      </c>
      <c r="AK32" s="236">
        <v>199754</v>
      </c>
      <c r="AL32" s="138">
        <f t="shared" si="26"/>
        <v>1.619779213511726E-2</v>
      </c>
      <c r="AM32" s="236">
        <v>202710.12510928715</v>
      </c>
      <c r="AN32" s="138">
        <f t="shared" si="18"/>
        <v>1.4798828105004923E-2</v>
      </c>
      <c r="AO32" s="135" t="str">
        <f t="shared" si="27"/>
        <v xml:space="preserve"> </v>
      </c>
      <c r="AP32" s="271">
        <f t="shared" si="1"/>
        <v>2.5166336060079019E-2</v>
      </c>
    </row>
    <row r="33" spans="1:42" x14ac:dyDescent="0.2">
      <c r="A33" s="3" t="s">
        <v>125</v>
      </c>
      <c r="B33" s="12"/>
      <c r="C33" s="12">
        <v>11985</v>
      </c>
      <c r="D33" s="138"/>
      <c r="E33" s="12">
        <v>12800</v>
      </c>
      <c r="F33" s="138">
        <f>(E33-C33)/C33</f>
        <v>6.8001668752607422E-2</v>
      </c>
      <c r="G33" s="12">
        <v>13420</v>
      </c>
      <c r="H33" s="138">
        <f>(G33-E33)/E33</f>
        <v>4.8437500000000001E-2</v>
      </c>
      <c r="I33" s="12">
        <v>14030</v>
      </c>
      <c r="J33" s="138">
        <f t="shared" si="5"/>
        <v>4.5454545454545456E-2</v>
      </c>
      <c r="K33" s="12">
        <v>14422.185642091705</v>
      </c>
      <c r="L33" s="138">
        <f t="shared" si="6"/>
        <v>2.7953360092067336E-2</v>
      </c>
      <c r="M33" s="12">
        <v>16899</v>
      </c>
      <c r="N33" s="138">
        <f t="shared" si="7"/>
        <v>0.17173640801569057</v>
      </c>
      <c r="O33" s="12">
        <v>18978.731797509306</v>
      </c>
      <c r="P33" s="138">
        <f t="shared" si="7"/>
        <v>0.12306833525707477</v>
      </c>
      <c r="Q33" s="12">
        <v>20640</v>
      </c>
      <c r="R33" s="138">
        <f t="shared" si="19"/>
        <v>8.7533151330412493E-2</v>
      </c>
      <c r="S33" s="260">
        <v>21738</v>
      </c>
      <c r="T33" s="138">
        <f t="shared" si="20"/>
        <v>5.3197674418604651E-2</v>
      </c>
      <c r="U33" s="236">
        <v>27154.657816820774</v>
      </c>
      <c r="V33" s="138">
        <f t="shared" si="10"/>
        <v>0.24917921689303404</v>
      </c>
      <c r="W33" s="236">
        <v>33143.855947017648</v>
      </c>
      <c r="X33" s="138">
        <f t="shared" si="21"/>
        <v>0.22055877745168653</v>
      </c>
      <c r="Y33" s="236">
        <v>36182.142490550868</v>
      </c>
      <c r="Z33" s="138">
        <f t="shared" si="22"/>
        <v>9.166967622566595E-2</v>
      </c>
      <c r="AA33" s="236">
        <v>36164.089947760229</v>
      </c>
      <c r="AB33" s="138">
        <f t="shared" si="23"/>
        <v>-4.9893515275813388E-4</v>
      </c>
      <c r="AC33" s="236">
        <v>37690.0608383781</v>
      </c>
      <c r="AD33" s="138">
        <f t="shared" si="14"/>
        <v>4.2195749784445492E-2</v>
      </c>
      <c r="AE33" s="236">
        <v>37268</v>
      </c>
      <c r="AF33" s="138">
        <f t="shared" si="14"/>
        <v>-1.1198199976061975E-2</v>
      </c>
      <c r="AG33" s="236">
        <v>39122</v>
      </c>
      <c r="AH33" s="138">
        <f t="shared" si="24"/>
        <v>4.9747772888268753E-2</v>
      </c>
      <c r="AI33" s="236">
        <v>38910</v>
      </c>
      <c r="AJ33" s="138">
        <f t="shared" si="25"/>
        <v>-5.4189458616635145E-3</v>
      </c>
      <c r="AK33" s="236">
        <v>39857</v>
      </c>
      <c r="AL33" s="138">
        <f t="shared" si="26"/>
        <v>2.4338216396813158E-2</v>
      </c>
      <c r="AM33" s="236">
        <v>40566.948333518005</v>
      </c>
      <c r="AN33" s="138">
        <f t="shared" si="18"/>
        <v>1.7812387623704865E-2</v>
      </c>
      <c r="AO33" s="135" t="str">
        <f t="shared" si="27"/>
        <v xml:space="preserve"> </v>
      </c>
      <c r="AP33" s="271">
        <f t="shared" si="1"/>
        <v>1.505624621421226E-2</v>
      </c>
    </row>
    <row r="34" spans="1:42" x14ac:dyDescent="0.2">
      <c r="A34" s="3" t="s">
        <v>126</v>
      </c>
      <c r="B34" s="5"/>
      <c r="C34" s="5">
        <v>32237</v>
      </c>
      <c r="D34" s="138"/>
      <c r="E34" s="12">
        <v>34440</v>
      </c>
      <c r="F34" s="138">
        <f>(E34-C34)/C34</f>
        <v>6.8337624468778113E-2</v>
      </c>
      <c r="G34" s="12">
        <v>30280</v>
      </c>
      <c r="H34" s="138">
        <f>(G34-E34)/E34</f>
        <v>-0.1207897793263647</v>
      </c>
      <c r="I34" s="12">
        <v>30850</v>
      </c>
      <c r="J34" s="138">
        <f t="shared" si="5"/>
        <v>1.8824306472919418E-2</v>
      </c>
      <c r="K34" s="12">
        <v>29658.068744794182</v>
      </c>
      <c r="L34" s="138">
        <f t="shared" si="6"/>
        <v>-3.8636345387546782E-2</v>
      </c>
      <c r="M34" s="12">
        <v>34767</v>
      </c>
      <c r="N34" s="138">
        <f t="shared" si="7"/>
        <v>0.17226109020003463</v>
      </c>
      <c r="O34" s="12">
        <v>33994.288440242162</v>
      </c>
      <c r="P34" s="138">
        <f t="shared" si="7"/>
        <v>-2.2225431005201416E-2</v>
      </c>
      <c r="Q34" s="12">
        <v>34378</v>
      </c>
      <c r="R34" s="138">
        <f t="shared" si="19"/>
        <v>1.128753026945559E-2</v>
      </c>
      <c r="S34" s="260">
        <v>33917</v>
      </c>
      <c r="T34" s="138">
        <f t="shared" si="20"/>
        <v>-1.3409738786433183E-2</v>
      </c>
      <c r="U34" s="236">
        <v>35207.957435319011</v>
      </c>
      <c r="V34" s="138">
        <f t="shared" si="10"/>
        <v>3.806225300937615E-2</v>
      </c>
      <c r="W34" s="236">
        <v>34874.220644647816</v>
      </c>
      <c r="X34" s="138">
        <f t="shared" si="21"/>
        <v>-9.4790159663282747E-3</v>
      </c>
      <c r="Y34" s="236">
        <v>37560.755561110476</v>
      </c>
      <c r="Z34" s="138">
        <f t="shared" si="22"/>
        <v>7.7034980762357652E-2</v>
      </c>
      <c r="AA34" s="236">
        <v>37141.35124048002</v>
      </c>
      <c r="AB34" s="138">
        <f t="shared" si="23"/>
        <v>-1.1166024601078507E-2</v>
      </c>
      <c r="AC34" s="236">
        <v>35234.662421628331</v>
      </c>
      <c r="AD34" s="138">
        <f t="shared" si="14"/>
        <v>-5.1336011081191006E-2</v>
      </c>
      <c r="AE34" s="236">
        <v>34829</v>
      </c>
      <c r="AF34" s="138">
        <f t="shared" si="14"/>
        <v>-1.1513163281488409E-2</v>
      </c>
      <c r="AG34" s="236">
        <v>33329</v>
      </c>
      <c r="AH34" s="138">
        <f t="shared" si="24"/>
        <v>-4.3067558643659021E-2</v>
      </c>
      <c r="AI34" s="236">
        <v>31634</v>
      </c>
      <c r="AJ34" s="138">
        <f t="shared" si="25"/>
        <v>-5.0856611359476729E-2</v>
      </c>
      <c r="AK34" s="236">
        <v>31960</v>
      </c>
      <c r="AL34" s="138">
        <f t="shared" si="26"/>
        <v>1.0305367642410065E-2</v>
      </c>
      <c r="AM34" s="236">
        <v>32412.700695455344</v>
      </c>
      <c r="AN34" s="138">
        <f t="shared" si="18"/>
        <v>1.4164602486087094E-2</v>
      </c>
      <c r="AO34" s="135" t="str">
        <f t="shared" si="27"/>
        <v xml:space="preserve"> </v>
      </c>
      <c r="AP34" s="271">
        <f t="shared" si="1"/>
        <v>-1.6193472631225399E-2</v>
      </c>
    </row>
    <row r="35" spans="1:42" x14ac:dyDescent="0.2">
      <c r="A35" s="3" t="s">
        <v>127</v>
      </c>
      <c r="B35" s="5"/>
      <c r="C35" s="5"/>
      <c r="D35" s="138"/>
      <c r="E35" s="5"/>
      <c r="F35" s="138"/>
      <c r="G35" s="5"/>
      <c r="H35" s="138"/>
      <c r="J35" s="138"/>
      <c r="L35" s="138"/>
      <c r="N35" s="138"/>
      <c r="P35" s="138"/>
      <c r="R35" s="138"/>
      <c r="S35" s="260"/>
      <c r="T35" s="138"/>
      <c r="V35" s="138"/>
      <c r="X35" s="138"/>
      <c r="Z35" s="138"/>
      <c r="AB35" s="138"/>
      <c r="AD35" s="138"/>
      <c r="AF35" s="138"/>
      <c r="AH35" s="138"/>
      <c r="AJ35" s="138"/>
      <c r="AL35" s="138"/>
      <c r="AM35" s="236"/>
      <c r="AN35" s="138"/>
      <c r="AP35" s="271"/>
    </row>
    <row r="36" spans="1:42" x14ac:dyDescent="0.2">
      <c r="A36" s="3" t="s">
        <v>128</v>
      </c>
      <c r="B36" s="5"/>
      <c r="C36" s="5"/>
      <c r="D36" s="138"/>
      <c r="E36" s="5"/>
      <c r="F36" s="138"/>
      <c r="G36" s="5"/>
      <c r="H36" s="138"/>
      <c r="J36" s="138"/>
      <c r="L36" s="138"/>
      <c r="N36" s="138"/>
      <c r="P36" s="138"/>
      <c r="R36" s="138"/>
      <c r="S36" s="260"/>
      <c r="T36" s="138"/>
      <c r="V36" s="138"/>
      <c r="X36" s="138"/>
      <c r="Z36" s="138"/>
      <c r="AB36" s="138"/>
      <c r="AD36" s="138"/>
      <c r="AF36" s="138"/>
      <c r="AH36" s="138"/>
      <c r="AJ36" s="138"/>
      <c r="AL36" s="138"/>
      <c r="AM36" s="236"/>
      <c r="AN36" s="138"/>
      <c r="AP36" s="271"/>
    </row>
    <row r="37" spans="1:42" x14ac:dyDescent="0.2">
      <c r="A37" s="3" t="s">
        <v>129</v>
      </c>
      <c r="B37" s="5"/>
      <c r="C37" s="5"/>
      <c r="D37" s="138"/>
      <c r="E37" s="5"/>
      <c r="F37" s="138"/>
      <c r="G37" s="5"/>
      <c r="H37" s="138"/>
      <c r="J37" s="138"/>
      <c r="L37" s="138"/>
      <c r="N37" s="138"/>
      <c r="P37" s="138"/>
      <c r="R37" s="138"/>
      <c r="S37" s="260"/>
      <c r="T37" s="138"/>
      <c r="V37" s="138"/>
      <c r="X37" s="138"/>
      <c r="Z37" s="138"/>
      <c r="AB37" s="138"/>
      <c r="AD37" s="138"/>
      <c r="AF37" s="138"/>
      <c r="AH37" s="138"/>
      <c r="AJ37" s="138"/>
      <c r="AL37" s="138"/>
      <c r="AM37" s="236"/>
      <c r="AN37" s="138"/>
      <c r="AP37" s="271"/>
    </row>
    <row r="38" spans="1:42" x14ac:dyDescent="0.2">
      <c r="A38" s="3" t="s">
        <v>130</v>
      </c>
      <c r="B38" s="5"/>
      <c r="C38" s="5"/>
      <c r="D38" s="138"/>
      <c r="E38" s="5"/>
      <c r="F38" s="138"/>
      <c r="G38" s="5"/>
      <c r="H38" s="138"/>
      <c r="J38" s="138"/>
      <c r="L38" s="138"/>
      <c r="N38" s="138"/>
      <c r="P38" s="138"/>
      <c r="R38" s="138"/>
      <c r="S38" s="260"/>
      <c r="T38" s="138"/>
      <c r="V38" s="138"/>
      <c r="X38" s="138"/>
      <c r="Z38" s="138"/>
      <c r="AB38" s="138"/>
      <c r="AD38" s="138"/>
      <c r="AF38" s="138"/>
      <c r="AH38" s="138"/>
      <c r="AJ38" s="138"/>
      <c r="AL38" s="138"/>
      <c r="AM38" s="236"/>
      <c r="AN38" s="138"/>
      <c r="AP38" s="271"/>
    </row>
    <row r="39" spans="1:42" x14ac:dyDescent="0.2">
      <c r="A39" s="3" t="s">
        <v>131</v>
      </c>
      <c r="B39" s="5"/>
      <c r="C39" s="5"/>
      <c r="D39" s="138"/>
      <c r="E39" s="5"/>
      <c r="F39" s="138"/>
      <c r="G39" s="5"/>
      <c r="H39" s="138"/>
      <c r="J39" s="138"/>
      <c r="L39" s="138"/>
      <c r="N39" s="138"/>
      <c r="P39" s="138"/>
      <c r="R39" s="138"/>
      <c r="S39" s="260"/>
      <c r="T39" s="138"/>
      <c r="V39" s="138"/>
      <c r="X39" s="138"/>
      <c r="Z39" s="138"/>
      <c r="AB39" s="138"/>
      <c r="AD39" s="138"/>
      <c r="AF39" s="138"/>
      <c r="AH39" s="138"/>
      <c r="AJ39" s="138"/>
      <c r="AL39" s="138"/>
      <c r="AM39" s="236"/>
      <c r="AN39" s="138"/>
      <c r="AP39" s="271"/>
    </row>
    <row r="40" spans="1:42" x14ac:dyDescent="0.2">
      <c r="A40" s="3" t="s">
        <v>132</v>
      </c>
      <c r="B40" s="5"/>
      <c r="C40" s="5"/>
      <c r="D40" s="138"/>
      <c r="E40" s="5"/>
      <c r="F40" s="138"/>
      <c r="G40" s="5"/>
      <c r="H40" s="138"/>
      <c r="J40" s="138"/>
      <c r="L40" s="138"/>
      <c r="N40" s="138"/>
      <c r="P40" s="138"/>
      <c r="R40" s="138"/>
      <c r="S40" s="260"/>
      <c r="T40" s="138"/>
      <c r="V40" s="138"/>
      <c r="X40" s="138"/>
      <c r="Z40" s="138"/>
      <c r="AB40" s="138"/>
      <c r="AD40" s="138"/>
      <c r="AF40" s="138"/>
      <c r="AH40" s="138"/>
      <c r="AJ40" s="138"/>
      <c r="AL40" s="138"/>
      <c r="AM40" s="236"/>
      <c r="AN40" s="138"/>
      <c r="AP40" s="271"/>
    </row>
    <row r="41" spans="1:42" x14ac:dyDescent="0.2">
      <c r="A41" s="3" t="s">
        <v>133</v>
      </c>
      <c r="B41" s="5"/>
      <c r="C41" s="5"/>
      <c r="D41" s="138"/>
      <c r="E41" s="5"/>
      <c r="F41" s="138"/>
      <c r="G41" s="5"/>
      <c r="H41" s="138"/>
      <c r="J41" s="138"/>
      <c r="L41" s="138"/>
      <c r="N41" s="138"/>
      <c r="P41" s="138"/>
      <c r="R41" s="138"/>
      <c r="S41" s="260"/>
      <c r="T41" s="138"/>
      <c r="V41" s="138"/>
      <c r="X41" s="138"/>
      <c r="Z41" s="138"/>
      <c r="AB41" s="138"/>
      <c r="AD41" s="138"/>
      <c r="AF41" s="138"/>
      <c r="AH41" s="138"/>
      <c r="AJ41" s="138"/>
      <c r="AL41" s="138"/>
      <c r="AM41" s="236"/>
      <c r="AN41" s="138"/>
      <c r="AP41" s="271"/>
    </row>
    <row r="42" spans="1:42" x14ac:dyDescent="0.2">
      <c r="B42" s="5"/>
      <c r="C42" s="5"/>
      <c r="D42" s="138"/>
      <c r="E42" s="5"/>
      <c r="F42" s="138"/>
      <c r="G42" s="5"/>
      <c r="H42" s="138"/>
      <c r="J42" s="138"/>
      <c r="L42" s="138"/>
      <c r="N42" s="138"/>
      <c r="P42" s="138"/>
      <c r="R42" s="138"/>
      <c r="S42" s="260"/>
      <c r="T42" s="138"/>
      <c r="V42" s="138"/>
      <c r="X42" s="138"/>
      <c r="Z42" s="138"/>
      <c r="AB42" s="138"/>
      <c r="AD42" s="138"/>
      <c r="AF42" s="138"/>
      <c r="AH42" s="138"/>
      <c r="AJ42" s="138"/>
      <c r="AL42" s="138"/>
      <c r="AM42" s="236"/>
      <c r="AN42" s="138"/>
      <c r="AP42" s="271"/>
    </row>
    <row r="43" spans="1:42" x14ac:dyDescent="0.2">
      <c r="A43" s="3" t="s">
        <v>476</v>
      </c>
      <c r="B43" s="5"/>
      <c r="C43" s="5"/>
      <c r="D43" s="138"/>
      <c r="E43" s="5"/>
      <c r="F43" s="138"/>
      <c r="G43" s="5"/>
      <c r="H43" s="138"/>
      <c r="J43" s="138"/>
      <c r="L43" s="138"/>
      <c r="N43" s="138"/>
      <c r="P43" s="138"/>
      <c r="R43" s="138"/>
      <c r="S43" s="260"/>
      <c r="T43" s="138"/>
      <c r="V43" s="138"/>
      <c r="X43" s="138"/>
      <c r="Z43" s="138"/>
      <c r="AB43" s="138"/>
      <c r="AD43" s="138"/>
      <c r="AF43" s="138"/>
      <c r="AH43" s="138"/>
      <c r="AJ43" s="138"/>
      <c r="AL43" s="138"/>
      <c r="AM43" s="236"/>
      <c r="AN43" s="138"/>
      <c r="AP43" s="271"/>
    </row>
    <row r="44" spans="1:42" x14ac:dyDescent="0.2">
      <c r="A44" s="3" t="s">
        <v>134</v>
      </c>
      <c r="B44" s="5">
        <v>35880</v>
      </c>
      <c r="C44" s="5">
        <v>37480</v>
      </c>
      <c r="D44" s="138">
        <f>(C44-B44)/B44</f>
        <v>4.4593088071348944E-2</v>
      </c>
      <c r="E44" s="5">
        <v>39590</v>
      </c>
      <c r="F44" s="138">
        <f>(E44-C44)/C44</f>
        <v>5.629669156883671E-2</v>
      </c>
      <c r="G44" s="5">
        <v>41420</v>
      </c>
      <c r="H44" s="138">
        <f>(G44-E44)/E44</f>
        <v>4.6223793887345287E-2</v>
      </c>
      <c r="I44" s="5">
        <v>42590</v>
      </c>
      <c r="J44" s="138">
        <f>(I44-G44)/G44</f>
        <v>2.8247223563495894E-2</v>
      </c>
      <c r="K44" s="5">
        <v>41259</v>
      </c>
      <c r="L44" s="138">
        <f>(K44-I44)/I44</f>
        <v>-3.1251467480629257E-2</v>
      </c>
      <c r="M44" s="5">
        <v>43450</v>
      </c>
      <c r="N44" s="138">
        <f>(M44-K44)/K44</f>
        <v>5.3103565282726195E-2</v>
      </c>
      <c r="O44" s="5">
        <v>44212.237478106726</v>
      </c>
      <c r="P44" s="138">
        <f>(O44-M44)/M44</f>
        <v>1.7542864858612808E-2</v>
      </c>
      <c r="Q44" s="5">
        <v>45603</v>
      </c>
      <c r="R44" s="138">
        <f>(Q44-O44)/O44</f>
        <v>3.1456506189761591E-2</v>
      </c>
      <c r="S44" s="260">
        <v>47803</v>
      </c>
      <c r="T44" s="138">
        <f>(S44-Q44)/Q44</f>
        <v>4.8242440190338354E-2</v>
      </c>
      <c r="U44" s="236">
        <v>50107.88094041391</v>
      </c>
      <c r="V44" s="138">
        <f>(U44-S44)/S44</f>
        <v>4.8216240411980631E-2</v>
      </c>
      <c r="W44" s="236">
        <v>51770</v>
      </c>
      <c r="X44" s="138">
        <f>(W44-U44)/U44</f>
        <v>3.3170811225535737E-2</v>
      </c>
      <c r="Y44" s="236">
        <v>52386.313291128557</v>
      </c>
      <c r="Z44" s="138">
        <f>(Y44-W44)/W44</f>
        <v>1.1904834675073545E-2</v>
      </c>
      <c r="AA44" s="236">
        <v>52130.966382834667</v>
      </c>
      <c r="AB44" s="138">
        <f>(AA44-Y44)/Y44</f>
        <v>-4.8743057537727541E-3</v>
      </c>
      <c r="AC44" s="236">
        <v>51389.911820777001</v>
      </c>
      <c r="AD44" s="138">
        <f>(AC44-AA44)/AA44</f>
        <v>-1.4215246972702893E-2</v>
      </c>
      <c r="AE44" s="236">
        <v>46997</v>
      </c>
      <c r="AF44" s="138">
        <f>(AE44-AC44)/AC44</f>
        <v>-8.5481987906446288E-2</v>
      </c>
      <c r="AG44" s="236">
        <v>47661</v>
      </c>
      <c r="AH44" s="138">
        <f>(AG44-AE44)/AE44</f>
        <v>1.4128561397536012E-2</v>
      </c>
      <c r="AI44" s="236">
        <v>48015</v>
      </c>
      <c r="AJ44" s="138">
        <f>(AI44-AG44)/AG44</f>
        <v>7.4274564109019954E-3</v>
      </c>
      <c r="AK44" s="236">
        <v>48478</v>
      </c>
      <c r="AL44" s="138">
        <f>(AK44-AI44)/AI44</f>
        <v>9.6428199520983034E-3</v>
      </c>
      <c r="AM44" s="236">
        <v>48553.081650317137</v>
      </c>
      <c r="AN44" s="138">
        <f t="shared" ref="AN44:AN47" si="28">(AM44-AK44)/AK44</f>
        <v>1.5487778026555808E-3</v>
      </c>
      <c r="AO44" s="135" t="str">
        <f t="shared" si="27"/>
        <v xml:space="preserve"> </v>
      </c>
      <c r="AP44" s="271">
        <f t="shared" si="1"/>
        <v>-1.054687446865088E-2</v>
      </c>
    </row>
    <row r="45" spans="1:42" x14ac:dyDescent="0.2">
      <c r="A45" s="3" t="s">
        <v>57</v>
      </c>
      <c r="B45" s="5"/>
      <c r="C45" s="5">
        <v>2630</v>
      </c>
      <c r="D45" s="138"/>
      <c r="E45" s="5">
        <v>2780</v>
      </c>
      <c r="F45" s="138">
        <f>(E45-C45)/C45</f>
        <v>5.7034220532319393E-2</v>
      </c>
      <c r="G45" s="5">
        <v>3030</v>
      </c>
      <c r="H45" s="138">
        <f>(G45-E45)/E45</f>
        <v>8.9928057553956831E-2</v>
      </c>
      <c r="I45" s="5">
        <v>3280</v>
      </c>
      <c r="J45" s="138">
        <f>(I45-G45)/G45</f>
        <v>8.2508250825082508E-2</v>
      </c>
      <c r="K45" s="5">
        <v>3377.1983241038706</v>
      </c>
      <c r="L45" s="138">
        <f>(K45-I45)/I45</f>
        <v>2.9633635397521532E-2</v>
      </c>
      <c r="M45" s="5">
        <v>3851</v>
      </c>
      <c r="N45" s="138">
        <f>(M45-K45)/K45</f>
        <v>0.14029430031233101</v>
      </c>
      <c r="O45" s="5">
        <v>4065.3879150130265</v>
      </c>
      <c r="P45" s="138">
        <f>(O45-M45)/M45</f>
        <v>5.5670712805252272E-2</v>
      </c>
      <c r="Q45" s="5">
        <v>4316</v>
      </c>
      <c r="R45" s="138">
        <f>(Q45-O45)/O45</f>
        <v>6.1645306727432056E-2</v>
      </c>
      <c r="S45" s="260">
        <v>5067</v>
      </c>
      <c r="T45" s="138">
        <f>(S45-Q45)/Q45</f>
        <v>0.17400370713623725</v>
      </c>
      <c r="U45" s="236">
        <v>5165.3094530635781</v>
      </c>
      <c r="V45" s="138">
        <f>(U45-S45)/S45</f>
        <v>1.9401905084582213E-2</v>
      </c>
      <c r="W45" s="236">
        <v>5549.5966489131415</v>
      </c>
      <c r="X45" s="138">
        <f>(W45-U45)/U45</f>
        <v>7.4397710213013515E-2</v>
      </c>
      <c r="Y45" s="236">
        <v>5393.9310949524479</v>
      </c>
      <c r="Z45" s="138">
        <f>(Y45-W45)/W45</f>
        <v>-2.8049886110404054E-2</v>
      </c>
      <c r="AA45" s="236">
        <v>5411.8007176287465</v>
      </c>
      <c r="AB45" s="138">
        <f>(AA45-Y45)/Y45</f>
        <v>3.3129126719880987E-3</v>
      </c>
      <c r="AC45" s="236">
        <v>5249.7336252584855</v>
      </c>
      <c r="AD45" s="138">
        <f>(AC45-AA45)/AA45</f>
        <v>-2.9946980834370571E-2</v>
      </c>
      <c r="AE45" s="236">
        <v>4756</v>
      </c>
      <c r="AF45" s="138">
        <f>(AE45-AC45)/AC45</f>
        <v>-9.4049271925520816E-2</v>
      </c>
      <c r="AG45" s="236">
        <v>5469</v>
      </c>
      <c r="AH45" s="138">
        <f>(AG45-AE45)/AE45</f>
        <v>0.14991589571068126</v>
      </c>
      <c r="AI45" s="236">
        <v>5495</v>
      </c>
      <c r="AJ45" s="138">
        <f>(AI45-AG45)/AG45</f>
        <v>4.7540683854452367E-3</v>
      </c>
      <c r="AK45" s="236">
        <v>5541</v>
      </c>
      <c r="AL45" s="138">
        <f>(AK45-AI45)/AI45</f>
        <v>8.371246587807097E-3</v>
      </c>
      <c r="AM45" s="236">
        <v>5760.1722475164379</v>
      </c>
      <c r="AN45" s="138">
        <f t="shared" si="28"/>
        <v>3.9554637703742623E-2</v>
      </c>
      <c r="AO45" s="135" t="str">
        <f t="shared" si="27"/>
        <v xml:space="preserve"> </v>
      </c>
      <c r="AP45" s="271">
        <f t="shared" si="1"/>
        <v>2.1709315292431079E-2</v>
      </c>
    </row>
    <row r="46" spans="1:42" x14ac:dyDescent="0.2">
      <c r="A46" s="3" t="s">
        <v>58</v>
      </c>
      <c r="B46" s="5"/>
      <c r="C46" s="5">
        <v>205</v>
      </c>
      <c r="D46" s="138"/>
      <c r="E46" s="5">
        <v>220</v>
      </c>
      <c r="F46" s="138">
        <f>(E46-C46)/C46</f>
        <v>7.3170731707317069E-2</v>
      </c>
      <c r="G46" s="5">
        <v>230</v>
      </c>
      <c r="H46" s="138">
        <f>(G46-E46)/E46</f>
        <v>4.5454545454545456E-2</v>
      </c>
      <c r="I46" s="5">
        <v>240</v>
      </c>
      <c r="J46" s="138">
        <f>(I46-G46)/G46</f>
        <v>4.3478260869565216E-2</v>
      </c>
      <c r="K46" s="5">
        <v>234.68154014218919</v>
      </c>
      <c r="L46" s="138">
        <f>(K46-I46)/I46</f>
        <v>-2.2160249407545032E-2</v>
      </c>
      <c r="M46" s="5">
        <v>224</v>
      </c>
      <c r="N46" s="138">
        <f>(M46-K46)/K46</f>
        <v>-4.5515041940313861E-2</v>
      </c>
      <c r="O46" s="5">
        <v>227.12581107916361</v>
      </c>
      <c r="P46" s="138">
        <f>(O46-M46)/M46</f>
        <v>1.3954513746266122E-2</v>
      </c>
      <c r="Q46" s="5">
        <v>229</v>
      </c>
      <c r="R46" s="138">
        <f>(Q46-O46)/O46</f>
        <v>8.2517654507490087E-3</v>
      </c>
      <c r="S46" s="260">
        <v>244</v>
      </c>
      <c r="T46" s="138">
        <f>(S46-Q46)/Q46</f>
        <v>6.5502183406113537E-2</v>
      </c>
      <c r="U46" s="236">
        <v>247.74670398258465</v>
      </c>
      <c r="V46" s="138">
        <f>(U46-S46)/S46</f>
        <v>1.5355344190920691E-2</v>
      </c>
      <c r="W46" s="236">
        <v>251.7050796734521</v>
      </c>
      <c r="X46" s="138">
        <f>(W46-U46)/U46</f>
        <v>1.5977511011188709E-2</v>
      </c>
      <c r="Y46" s="236">
        <v>252.10294372014198</v>
      </c>
      <c r="Z46" s="138">
        <f>(Y46-W46)/W46</f>
        <v>1.5806754762599212E-3</v>
      </c>
      <c r="AA46" s="236">
        <v>255.45837892441236</v>
      </c>
      <c r="AB46" s="138">
        <f>(AA46-Y46)/Y46</f>
        <v>1.3309781927795446E-2</v>
      </c>
      <c r="AC46" s="236">
        <v>255.99526674073613</v>
      </c>
      <c r="AD46" s="138">
        <f>(AC46-AA46)/AA46</f>
        <v>2.1016645395789874E-3</v>
      </c>
      <c r="AE46" s="236">
        <v>233</v>
      </c>
      <c r="AF46" s="138">
        <f>(AE46-AC46)/AC46</f>
        <v>-8.9826921542361965E-2</v>
      </c>
      <c r="AG46" s="236">
        <v>216</v>
      </c>
      <c r="AH46" s="138">
        <f>(AG46-AE46)/AE46</f>
        <v>-7.2961373390557943E-2</v>
      </c>
      <c r="AI46" s="236">
        <v>219</v>
      </c>
      <c r="AJ46" s="138">
        <f>(AI46-AG46)/AG46</f>
        <v>1.3888888888888888E-2</v>
      </c>
      <c r="AK46" s="236">
        <v>220</v>
      </c>
      <c r="AL46" s="138">
        <f>(AK46-AI46)/AI46</f>
        <v>4.5662100456621002E-3</v>
      </c>
      <c r="AM46" s="236">
        <v>216.97780744890986</v>
      </c>
      <c r="AN46" s="138">
        <f t="shared" si="28"/>
        <v>-1.3737238868591559E-2</v>
      </c>
      <c r="AO46" s="135" t="str">
        <f t="shared" si="27"/>
        <v xml:space="preserve"> </v>
      </c>
      <c r="AP46" s="271">
        <f t="shared" si="1"/>
        <v>-3.1614086973392096E-2</v>
      </c>
    </row>
    <row r="47" spans="1:42" x14ac:dyDescent="0.2">
      <c r="A47" s="3" t="s">
        <v>59</v>
      </c>
      <c r="B47" s="5"/>
      <c r="C47" s="5">
        <v>2275</v>
      </c>
      <c r="D47" s="138"/>
      <c r="E47" s="5">
        <v>2400</v>
      </c>
      <c r="F47" s="138">
        <f>(E47-C47)/C47</f>
        <v>5.4945054945054944E-2</v>
      </c>
      <c r="G47" s="5">
        <v>2580</v>
      </c>
      <c r="H47" s="138">
        <f>(G47-E47)/E47</f>
        <v>7.4999999999999997E-2</v>
      </c>
      <c r="I47" s="5">
        <v>2650</v>
      </c>
      <c r="J47" s="138">
        <f>(I47-G47)/G47</f>
        <v>2.7131782945736434E-2</v>
      </c>
      <c r="K47" s="5">
        <v>2697.3961024129867</v>
      </c>
      <c r="L47" s="138">
        <f>(K47-I47)/I47</f>
        <v>1.7885321665277999E-2</v>
      </c>
      <c r="M47" s="5">
        <v>2861</v>
      </c>
      <c r="N47" s="138">
        <f>(M47-K47)/K47</f>
        <v>6.0652529838187114E-2</v>
      </c>
      <c r="O47" s="5">
        <v>2829.9657098024068</v>
      </c>
      <c r="P47" s="138">
        <f>(O47-M47)/M47</f>
        <v>-1.0847357636348563E-2</v>
      </c>
      <c r="Q47" s="5">
        <v>2870</v>
      </c>
      <c r="R47" s="138">
        <f>(Q47-O47)/O47</f>
        <v>1.4146563705320832E-2</v>
      </c>
      <c r="S47" s="260">
        <v>2945</v>
      </c>
      <c r="T47" s="138">
        <f>(S47-Q47)/Q47</f>
        <v>2.6132404181184669E-2</v>
      </c>
      <c r="U47" s="236">
        <v>2983.091068662367</v>
      </c>
      <c r="V47" s="138">
        <f>(U47-S47)/S47</f>
        <v>1.2934148951567736E-2</v>
      </c>
      <c r="W47" s="236">
        <v>3234.0547495907495</v>
      </c>
      <c r="X47" s="138">
        <f>(W47-U47)/U47</f>
        <v>8.4128735982879607E-2</v>
      </c>
      <c r="Y47" s="236">
        <v>3239.4137688332867</v>
      </c>
      <c r="Z47" s="138">
        <f>(Y47-W47)/W47</f>
        <v>1.6570589113296141E-3</v>
      </c>
      <c r="AA47" s="236">
        <v>3260.7996590770772</v>
      </c>
      <c r="AB47" s="138">
        <f>(AA47-Y47)/Y47</f>
        <v>6.6017779048623696E-3</v>
      </c>
      <c r="AC47" s="236">
        <v>3228.6031575422894</v>
      </c>
      <c r="AD47" s="138">
        <f>(AC47-AA47)/AA47</f>
        <v>-9.8738054774884718E-3</v>
      </c>
      <c r="AE47" s="236">
        <v>3067</v>
      </c>
      <c r="AF47" s="138">
        <f>(AE47-AC47)/AC47</f>
        <v>-5.005358344049525E-2</v>
      </c>
      <c r="AG47" s="236">
        <v>2984</v>
      </c>
      <c r="AH47" s="138">
        <f>(AG47-AE47)/AE47</f>
        <v>-2.7062275839582654E-2</v>
      </c>
      <c r="AI47" s="236">
        <v>3010</v>
      </c>
      <c r="AJ47" s="138">
        <f>(AI47-AG47)/AG47</f>
        <v>8.7131367292225207E-3</v>
      </c>
      <c r="AK47" s="236">
        <v>2993</v>
      </c>
      <c r="AL47" s="138">
        <f>(AK47-AI47)/AI47</f>
        <v>-5.6478405315614618E-3</v>
      </c>
      <c r="AM47" s="236">
        <v>3072.2518233730784</v>
      </c>
      <c r="AN47" s="138">
        <f t="shared" si="28"/>
        <v>2.6479058928526034E-2</v>
      </c>
      <c r="AO47" s="135" t="str">
        <f t="shared" si="27"/>
        <v xml:space="preserve"> </v>
      </c>
      <c r="AP47" s="271">
        <f t="shared" si="1"/>
        <v>-9.5143008307781631E-3</v>
      </c>
    </row>
    <row r="48" spans="1:42" x14ac:dyDescent="0.2">
      <c r="A48" s="3" t="s">
        <v>103</v>
      </c>
      <c r="B48" s="5"/>
      <c r="C48" s="5"/>
      <c r="D48" s="138"/>
      <c r="E48" s="5"/>
      <c r="F48" s="138"/>
      <c r="G48" s="5"/>
      <c r="H48" s="138"/>
      <c r="J48" s="138"/>
      <c r="L48" s="138"/>
      <c r="N48" s="138"/>
      <c r="P48" s="138"/>
      <c r="R48" s="138"/>
      <c r="S48" s="260"/>
      <c r="T48" s="138"/>
      <c r="V48" s="138"/>
      <c r="X48" s="138"/>
      <c r="Z48" s="138"/>
      <c r="AB48" s="138"/>
      <c r="AD48" s="138"/>
      <c r="AF48" s="138"/>
      <c r="AH48" s="138"/>
      <c r="AJ48" s="138"/>
      <c r="AL48" s="138"/>
      <c r="AM48" s="236"/>
      <c r="AN48" s="138"/>
      <c r="AP48" s="271"/>
    </row>
    <row r="49" spans="1:42" x14ac:dyDescent="0.2">
      <c r="A49" s="3" t="s">
        <v>62</v>
      </c>
      <c r="B49" s="5"/>
      <c r="C49" s="5"/>
      <c r="D49" s="138"/>
      <c r="E49" s="5"/>
      <c r="F49" s="138"/>
      <c r="G49" s="5"/>
      <c r="H49" s="138"/>
      <c r="J49" s="138"/>
      <c r="L49" s="138"/>
      <c r="N49" s="138"/>
      <c r="P49" s="138"/>
      <c r="R49" s="138"/>
      <c r="S49" s="260"/>
      <c r="T49" s="138"/>
      <c r="V49" s="138"/>
      <c r="X49" s="138"/>
      <c r="Z49" s="138"/>
      <c r="AB49" s="138"/>
      <c r="AD49" s="138"/>
      <c r="AF49" s="138"/>
      <c r="AH49" s="138"/>
      <c r="AJ49" s="138"/>
      <c r="AL49" s="138"/>
      <c r="AM49" s="236"/>
      <c r="AN49" s="138"/>
      <c r="AP49" s="271"/>
    </row>
    <row r="50" spans="1:42" x14ac:dyDescent="0.2">
      <c r="A50" s="3" t="s">
        <v>135</v>
      </c>
      <c r="B50" s="5"/>
      <c r="C50" s="5"/>
      <c r="D50" s="138"/>
      <c r="E50" s="5"/>
      <c r="F50" s="138"/>
      <c r="G50" s="5"/>
      <c r="H50" s="138"/>
      <c r="J50" s="138"/>
      <c r="L50" s="138"/>
      <c r="N50" s="138"/>
      <c r="P50" s="138"/>
      <c r="R50" s="138"/>
      <c r="S50" s="260"/>
      <c r="T50" s="138"/>
      <c r="V50" s="138"/>
      <c r="X50" s="138"/>
      <c r="Z50" s="138"/>
      <c r="AB50" s="138"/>
      <c r="AD50" s="138"/>
      <c r="AF50" s="138"/>
      <c r="AH50" s="138"/>
      <c r="AJ50" s="138"/>
      <c r="AL50" s="138"/>
      <c r="AM50" s="236"/>
      <c r="AN50" s="138"/>
      <c r="AP50" s="271"/>
    </row>
    <row r="51" spans="1:42" x14ac:dyDescent="0.2">
      <c r="A51" s="3" t="s">
        <v>136</v>
      </c>
      <c r="B51" s="5"/>
      <c r="C51" s="5"/>
      <c r="D51" s="138"/>
      <c r="E51" s="5"/>
      <c r="F51" s="138"/>
      <c r="G51" s="5"/>
      <c r="H51" s="138"/>
      <c r="J51" s="138"/>
      <c r="L51" s="138"/>
      <c r="N51" s="138"/>
      <c r="P51" s="138"/>
      <c r="R51" s="138"/>
      <c r="S51" s="260"/>
      <c r="T51" s="138"/>
      <c r="V51" s="138"/>
      <c r="X51" s="138"/>
      <c r="Z51" s="138"/>
      <c r="AB51" s="138"/>
      <c r="AD51" s="138"/>
      <c r="AF51" s="138"/>
      <c r="AH51" s="138"/>
      <c r="AJ51" s="138"/>
      <c r="AL51" s="138"/>
      <c r="AM51" s="236"/>
      <c r="AN51" s="138"/>
      <c r="AP51" s="271"/>
    </row>
    <row r="52" spans="1:42" x14ac:dyDescent="0.2">
      <c r="A52" s="3" t="s">
        <v>137</v>
      </c>
      <c r="B52" s="5"/>
      <c r="C52" s="5"/>
      <c r="D52" s="138"/>
      <c r="E52" s="5"/>
      <c r="F52" s="138"/>
      <c r="G52" s="5"/>
      <c r="H52" s="138"/>
      <c r="J52" s="138"/>
      <c r="L52" s="138"/>
      <c r="N52" s="138"/>
      <c r="P52" s="138"/>
      <c r="R52" s="138"/>
      <c r="S52" s="260"/>
      <c r="T52" s="138"/>
      <c r="V52" s="138"/>
      <c r="X52" s="138"/>
      <c r="Z52" s="138"/>
      <c r="AB52" s="138"/>
      <c r="AD52" s="138"/>
      <c r="AF52" s="138"/>
      <c r="AH52" s="138"/>
      <c r="AJ52" s="138"/>
      <c r="AL52" s="138"/>
      <c r="AM52" s="236"/>
      <c r="AN52" s="138"/>
      <c r="AP52" s="271"/>
    </row>
    <row r="53" spans="1:42" x14ac:dyDescent="0.2">
      <c r="A53" s="3" t="s">
        <v>138</v>
      </c>
      <c r="B53" s="5"/>
      <c r="C53" s="5"/>
      <c r="D53" s="138"/>
      <c r="E53" s="5"/>
      <c r="F53" s="138"/>
      <c r="G53" s="5"/>
      <c r="H53" s="138"/>
      <c r="J53" s="138"/>
      <c r="L53" s="138"/>
      <c r="N53" s="138"/>
      <c r="P53" s="138"/>
      <c r="R53" s="138"/>
      <c r="S53" s="260"/>
      <c r="T53" s="138"/>
      <c r="V53" s="138"/>
      <c r="X53" s="138"/>
      <c r="Z53" s="138"/>
      <c r="AB53" s="138"/>
      <c r="AD53" s="138"/>
      <c r="AF53" s="138"/>
      <c r="AH53" s="138"/>
      <c r="AJ53" s="138"/>
      <c r="AL53" s="138"/>
      <c r="AM53" s="236"/>
      <c r="AN53" s="138"/>
      <c r="AP53" s="271"/>
    </row>
    <row r="54" spans="1:42" x14ac:dyDescent="0.2">
      <c r="A54" s="3" t="s">
        <v>139</v>
      </c>
      <c r="B54" s="5"/>
      <c r="C54" s="5"/>
      <c r="D54" s="138"/>
      <c r="E54" s="5"/>
      <c r="F54" s="138"/>
      <c r="G54" s="5"/>
      <c r="H54" s="138"/>
      <c r="J54" s="138"/>
      <c r="L54" s="138"/>
      <c r="N54" s="138"/>
      <c r="P54" s="138"/>
      <c r="R54" s="138"/>
      <c r="S54" s="260"/>
      <c r="T54" s="138"/>
      <c r="V54" s="138"/>
      <c r="X54" s="138"/>
      <c r="Z54" s="138"/>
      <c r="AB54" s="138"/>
      <c r="AD54" s="138"/>
      <c r="AF54" s="138"/>
      <c r="AH54" s="138"/>
      <c r="AJ54" s="138"/>
      <c r="AL54" s="138"/>
      <c r="AM54" s="236"/>
      <c r="AN54" s="138"/>
      <c r="AP54" s="271"/>
    </row>
    <row r="55" spans="1:42" x14ac:dyDescent="0.2">
      <c r="A55" s="3" t="s">
        <v>66</v>
      </c>
      <c r="B55" s="5"/>
      <c r="C55" s="5"/>
      <c r="D55" s="138"/>
      <c r="E55" s="5"/>
      <c r="F55" s="138"/>
      <c r="G55" s="5"/>
      <c r="H55" s="138"/>
      <c r="J55" s="138"/>
      <c r="L55" s="138"/>
      <c r="N55" s="138"/>
      <c r="P55" s="138"/>
      <c r="R55" s="138"/>
      <c r="S55" s="260"/>
      <c r="T55" s="138"/>
      <c r="V55" s="138"/>
      <c r="X55" s="138"/>
      <c r="Z55" s="138"/>
      <c r="AB55" s="138"/>
      <c r="AD55" s="138"/>
      <c r="AF55" s="138"/>
      <c r="AH55" s="138"/>
      <c r="AJ55" s="138"/>
      <c r="AL55" s="138"/>
      <c r="AM55" s="236"/>
      <c r="AN55" s="138"/>
      <c r="AP55" s="271"/>
    </row>
    <row r="56" spans="1:42" x14ac:dyDescent="0.2">
      <c r="A56" s="3" t="s">
        <v>67</v>
      </c>
      <c r="B56" s="5"/>
      <c r="C56" s="5"/>
      <c r="D56" s="138"/>
      <c r="E56" s="5"/>
      <c r="F56" s="138"/>
      <c r="G56" s="5"/>
      <c r="H56" s="138"/>
      <c r="J56" s="138"/>
      <c r="L56" s="138"/>
      <c r="N56" s="138"/>
      <c r="P56" s="138"/>
      <c r="R56" s="138"/>
      <c r="S56" s="260"/>
      <c r="T56" s="138"/>
      <c r="V56" s="138"/>
      <c r="X56" s="138"/>
      <c r="Z56" s="138"/>
      <c r="AB56" s="138"/>
      <c r="AD56" s="138"/>
      <c r="AF56" s="138"/>
      <c r="AH56" s="138"/>
      <c r="AJ56" s="138"/>
      <c r="AL56" s="138"/>
      <c r="AM56" s="236"/>
      <c r="AN56" s="138"/>
      <c r="AP56" s="271"/>
    </row>
    <row r="57" spans="1:42" x14ac:dyDescent="0.2">
      <c r="A57" s="3" t="s">
        <v>68</v>
      </c>
      <c r="B57" s="5"/>
      <c r="C57" s="5"/>
      <c r="D57" s="138"/>
      <c r="E57" s="5"/>
      <c r="F57" s="138"/>
      <c r="G57" s="5"/>
      <c r="H57" s="138"/>
      <c r="J57" s="138"/>
      <c r="L57" s="138"/>
      <c r="N57" s="138"/>
      <c r="P57" s="138"/>
      <c r="R57" s="138"/>
      <c r="S57" s="260"/>
      <c r="T57" s="138"/>
      <c r="V57" s="138"/>
      <c r="X57" s="138"/>
      <c r="Z57" s="138"/>
      <c r="AB57" s="138"/>
      <c r="AD57" s="138"/>
      <c r="AF57" s="138"/>
      <c r="AH57" s="138"/>
      <c r="AJ57" s="138"/>
      <c r="AL57" s="138"/>
      <c r="AM57" s="236"/>
      <c r="AN57" s="138"/>
      <c r="AP57" s="271"/>
    </row>
    <row r="58" spans="1:42" x14ac:dyDescent="0.2">
      <c r="A58" s="3" t="s">
        <v>69</v>
      </c>
      <c r="B58" s="5"/>
      <c r="C58" s="5"/>
      <c r="D58" s="138"/>
      <c r="E58" s="5"/>
      <c r="F58" s="138"/>
      <c r="G58" s="5"/>
      <c r="H58" s="138"/>
      <c r="J58" s="138"/>
      <c r="L58" s="138"/>
      <c r="N58" s="138"/>
      <c r="P58" s="138"/>
      <c r="R58" s="138"/>
      <c r="S58" s="260"/>
      <c r="T58" s="138"/>
      <c r="V58" s="138"/>
      <c r="X58" s="138"/>
      <c r="Z58" s="138"/>
      <c r="AB58" s="138"/>
      <c r="AD58" s="138"/>
      <c r="AF58" s="138"/>
      <c r="AH58" s="138"/>
      <c r="AJ58" s="138"/>
      <c r="AL58" s="138"/>
      <c r="AM58" s="236"/>
      <c r="AN58" s="138"/>
      <c r="AP58" s="271"/>
    </row>
    <row r="59" spans="1:42" x14ac:dyDescent="0.2">
      <c r="A59" s="3" t="s">
        <v>70</v>
      </c>
      <c r="B59" s="5"/>
      <c r="C59" s="5"/>
      <c r="D59" s="138"/>
      <c r="E59" s="5"/>
      <c r="F59" s="138"/>
      <c r="G59" s="5"/>
      <c r="H59" s="138"/>
      <c r="J59" s="138"/>
      <c r="L59" s="138"/>
      <c r="N59" s="138"/>
      <c r="P59" s="138"/>
      <c r="R59" s="138"/>
      <c r="S59" s="260"/>
      <c r="T59" s="138"/>
      <c r="V59" s="138"/>
      <c r="X59" s="138"/>
      <c r="Z59" s="138"/>
      <c r="AB59" s="138"/>
      <c r="AD59" s="138"/>
      <c r="AF59" s="138"/>
      <c r="AH59" s="138"/>
      <c r="AJ59" s="138"/>
      <c r="AL59" s="138"/>
      <c r="AM59" s="236"/>
      <c r="AN59" s="138"/>
      <c r="AP59" s="271"/>
    </row>
    <row r="60" spans="1:42" x14ac:dyDescent="0.2">
      <c r="A60" s="3" t="s">
        <v>140</v>
      </c>
      <c r="B60" s="5"/>
      <c r="C60" s="5"/>
      <c r="D60" s="138"/>
      <c r="E60" s="5"/>
      <c r="F60" s="138"/>
      <c r="G60" s="5"/>
      <c r="H60" s="138"/>
      <c r="J60" s="138"/>
      <c r="L60" s="138"/>
      <c r="N60" s="138"/>
      <c r="P60" s="138"/>
      <c r="R60" s="138"/>
      <c r="S60" s="260"/>
      <c r="T60" s="138"/>
      <c r="V60" s="138"/>
      <c r="X60" s="138"/>
      <c r="Z60" s="138"/>
      <c r="AB60" s="138"/>
      <c r="AD60" s="138"/>
      <c r="AF60" s="138"/>
      <c r="AH60" s="138"/>
      <c r="AJ60" s="138"/>
      <c r="AL60" s="138"/>
      <c r="AM60" s="236"/>
      <c r="AN60" s="138"/>
      <c r="AP60" s="271"/>
    </row>
    <row r="61" spans="1:42" x14ac:dyDescent="0.2">
      <c r="A61" s="3" t="s">
        <v>71</v>
      </c>
      <c r="B61" s="5"/>
      <c r="C61" s="5"/>
      <c r="D61" s="138"/>
      <c r="E61" s="5"/>
      <c r="F61" s="138"/>
      <c r="G61" s="5"/>
      <c r="H61" s="138"/>
      <c r="J61" s="138"/>
      <c r="L61" s="138"/>
      <c r="N61" s="138"/>
      <c r="P61" s="138"/>
      <c r="R61" s="138"/>
      <c r="S61" s="260"/>
      <c r="T61" s="138"/>
      <c r="V61" s="138"/>
      <c r="X61" s="138"/>
      <c r="Z61" s="138"/>
      <c r="AB61" s="138"/>
      <c r="AD61" s="138"/>
      <c r="AF61" s="138"/>
      <c r="AH61" s="138"/>
      <c r="AJ61" s="138"/>
      <c r="AL61" s="138"/>
      <c r="AM61" s="236"/>
      <c r="AN61" s="138"/>
      <c r="AP61" s="271"/>
    </row>
    <row r="62" spans="1:42" x14ac:dyDescent="0.2">
      <c r="A62" s="3" t="s">
        <v>72</v>
      </c>
      <c r="B62" s="5"/>
      <c r="C62" s="5"/>
      <c r="D62" s="138"/>
      <c r="E62" s="5"/>
      <c r="F62" s="138"/>
      <c r="G62" s="5"/>
      <c r="H62" s="138"/>
      <c r="J62" s="138"/>
      <c r="L62" s="138"/>
      <c r="N62" s="138"/>
      <c r="P62" s="138"/>
      <c r="R62" s="138"/>
      <c r="S62" s="260"/>
      <c r="T62" s="138"/>
      <c r="V62" s="138"/>
      <c r="X62" s="138"/>
      <c r="Z62" s="138"/>
      <c r="AB62" s="138"/>
      <c r="AD62" s="138"/>
      <c r="AF62" s="138"/>
      <c r="AH62" s="138"/>
      <c r="AJ62" s="138"/>
      <c r="AL62" s="138"/>
      <c r="AM62" s="236"/>
      <c r="AN62" s="138"/>
      <c r="AP62" s="271"/>
    </row>
    <row r="63" spans="1:42" x14ac:dyDescent="0.2">
      <c r="A63" s="3" t="s">
        <v>104</v>
      </c>
      <c r="B63" s="5"/>
      <c r="C63" s="5"/>
      <c r="D63" s="138"/>
      <c r="E63" s="5"/>
      <c r="F63" s="138"/>
      <c r="G63" s="5"/>
      <c r="H63" s="138"/>
      <c r="J63" s="138"/>
      <c r="L63" s="138"/>
      <c r="N63" s="138"/>
      <c r="P63" s="138"/>
      <c r="R63" s="138"/>
      <c r="S63" s="260"/>
      <c r="T63" s="138"/>
      <c r="V63" s="138"/>
      <c r="X63" s="138"/>
      <c r="Z63" s="138"/>
      <c r="AB63" s="138"/>
      <c r="AD63" s="138"/>
      <c r="AF63" s="138"/>
      <c r="AH63" s="138"/>
      <c r="AJ63" s="138"/>
      <c r="AL63" s="138"/>
      <c r="AM63" s="236"/>
      <c r="AN63" s="138"/>
      <c r="AP63" s="271"/>
    </row>
    <row r="64" spans="1:42" x14ac:dyDescent="0.2">
      <c r="A64" s="3" t="s">
        <v>74</v>
      </c>
      <c r="B64" s="5"/>
      <c r="C64" s="5"/>
      <c r="D64" s="138"/>
      <c r="E64" s="5"/>
      <c r="F64" s="138"/>
      <c r="G64" s="5"/>
      <c r="H64" s="138"/>
      <c r="J64" s="138"/>
      <c r="L64" s="138"/>
      <c r="N64" s="138"/>
      <c r="P64" s="138"/>
      <c r="R64" s="138"/>
      <c r="S64" s="260"/>
      <c r="T64" s="138"/>
      <c r="V64" s="138"/>
      <c r="X64" s="138"/>
      <c r="Z64" s="138"/>
      <c r="AB64" s="138"/>
      <c r="AD64" s="138"/>
      <c r="AF64" s="138"/>
      <c r="AH64" s="138"/>
      <c r="AJ64" s="138"/>
      <c r="AL64" s="138"/>
      <c r="AM64" s="236"/>
      <c r="AN64" s="138"/>
      <c r="AP64" s="271"/>
    </row>
    <row r="65" spans="1:42" x14ac:dyDescent="0.2">
      <c r="A65" s="3" t="s">
        <v>141</v>
      </c>
      <c r="B65" s="5"/>
      <c r="C65" s="5"/>
      <c r="D65" s="138"/>
      <c r="E65" s="5"/>
      <c r="F65" s="138"/>
      <c r="G65" s="5"/>
      <c r="H65" s="138"/>
      <c r="J65" s="138"/>
      <c r="L65" s="138"/>
      <c r="N65" s="138"/>
      <c r="P65" s="138"/>
      <c r="R65" s="138"/>
      <c r="S65" s="260"/>
      <c r="T65" s="138"/>
      <c r="V65" s="138"/>
      <c r="X65" s="138"/>
      <c r="Z65" s="138"/>
      <c r="AB65" s="138"/>
      <c r="AD65" s="138"/>
      <c r="AF65" s="138"/>
      <c r="AH65" s="138"/>
      <c r="AJ65" s="138"/>
      <c r="AL65" s="138"/>
      <c r="AM65" s="236"/>
      <c r="AN65" s="138"/>
      <c r="AP65" s="271"/>
    </row>
    <row r="66" spans="1:42" x14ac:dyDescent="0.2">
      <c r="A66" s="3" t="s">
        <v>142</v>
      </c>
      <c r="B66" s="5"/>
      <c r="C66" s="5"/>
      <c r="D66" s="138"/>
      <c r="E66" s="5"/>
      <c r="F66" s="138"/>
      <c r="G66" s="5"/>
      <c r="H66" s="138"/>
      <c r="J66" s="138"/>
      <c r="L66" s="138"/>
      <c r="N66" s="138"/>
      <c r="P66" s="138"/>
      <c r="R66" s="138"/>
      <c r="S66" s="260"/>
      <c r="T66" s="138"/>
      <c r="V66" s="138"/>
      <c r="X66" s="138"/>
      <c r="Z66" s="138"/>
      <c r="AB66" s="138"/>
      <c r="AD66" s="138"/>
      <c r="AF66" s="138"/>
      <c r="AH66" s="138"/>
      <c r="AJ66" s="138"/>
      <c r="AL66" s="138"/>
      <c r="AM66" s="236"/>
      <c r="AN66" s="138"/>
      <c r="AP66" s="271"/>
    </row>
    <row r="67" spans="1:42" x14ac:dyDescent="0.2">
      <c r="A67" s="3" t="s">
        <v>76</v>
      </c>
      <c r="B67" s="5"/>
      <c r="C67" s="5"/>
      <c r="D67" s="138"/>
      <c r="E67" s="5"/>
      <c r="F67" s="138"/>
      <c r="G67" s="5"/>
      <c r="H67" s="138"/>
      <c r="J67" s="138"/>
      <c r="L67" s="138"/>
      <c r="N67" s="138"/>
      <c r="P67" s="138"/>
      <c r="R67" s="138"/>
      <c r="S67" s="260"/>
      <c r="T67" s="138"/>
      <c r="V67" s="138"/>
      <c r="X67" s="138"/>
      <c r="Z67" s="138"/>
      <c r="AB67" s="138"/>
      <c r="AD67" s="138"/>
      <c r="AF67" s="138"/>
      <c r="AH67" s="138"/>
      <c r="AJ67" s="138"/>
      <c r="AL67" s="138"/>
      <c r="AM67" s="236"/>
      <c r="AN67" s="138"/>
      <c r="AP67" s="271"/>
    </row>
    <row r="68" spans="1:42" x14ac:dyDescent="0.2">
      <c r="A68" s="3" t="s">
        <v>143</v>
      </c>
      <c r="B68" s="5"/>
      <c r="C68" s="5"/>
      <c r="D68" s="138"/>
      <c r="E68" s="5"/>
      <c r="F68" s="138"/>
      <c r="G68" s="5"/>
      <c r="H68" s="138"/>
      <c r="J68" s="138"/>
      <c r="L68" s="138"/>
      <c r="N68" s="138"/>
      <c r="P68" s="138"/>
      <c r="R68" s="138"/>
      <c r="S68" s="260"/>
      <c r="T68" s="138"/>
      <c r="V68" s="138"/>
      <c r="X68" s="138"/>
      <c r="Z68" s="138"/>
      <c r="AB68" s="138"/>
      <c r="AD68" s="138"/>
      <c r="AF68" s="138"/>
      <c r="AH68" s="138"/>
      <c r="AJ68" s="138"/>
      <c r="AL68" s="138"/>
      <c r="AM68" s="236"/>
      <c r="AN68" s="138"/>
      <c r="AP68" s="271"/>
    </row>
    <row r="69" spans="1:42" x14ac:dyDescent="0.2">
      <c r="A69" s="3" t="s">
        <v>78</v>
      </c>
      <c r="B69" s="5"/>
      <c r="C69" s="5"/>
      <c r="D69" s="138"/>
      <c r="E69" s="5"/>
      <c r="F69" s="138"/>
      <c r="G69" s="5"/>
      <c r="H69" s="138"/>
      <c r="J69" s="138"/>
      <c r="L69" s="138"/>
      <c r="N69" s="138"/>
      <c r="P69" s="138"/>
      <c r="R69" s="138"/>
      <c r="S69" s="260"/>
      <c r="T69" s="138"/>
      <c r="V69" s="138"/>
      <c r="X69" s="138"/>
      <c r="Z69" s="138"/>
      <c r="AB69" s="138"/>
      <c r="AD69" s="138"/>
      <c r="AF69" s="138"/>
      <c r="AH69" s="138"/>
      <c r="AJ69" s="138"/>
      <c r="AL69" s="138"/>
      <c r="AM69" s="236"/>
      <c r="AN69" s="138"/>
      <c r="AP69" s="271"/>
    </row>
    <row r="70" spans="1:42" x14ac:dyDescent="0.2">
      <c r="A70" s="3" t="s">
        <v>79</v>
      </c>
      <c r="B70" s="5"/>
      <c r="C70" s="5" t="s">
        <v>105</v>
      </c>
      <c r="D70" s="138"/>
      <c r="E70" s="5"/>
      <c r="F70" s="138"/>
      <c r="G70" s="5"/>
      <c r="H70" s="138"/>
      <c r="J70" s="138"/>
      <c r="L70" s="138"/>
      <c r="N70" s="138"/>
      <c r="P70" s="138"/>
      <c r="R70" s="138"/>
      <c r="S70" s="260"/>
      <c r="T70" s="138"/>
      <c r="V70" s="138"/>
      <c r="X70" s="138"/>
      <c r="Z70" s="138"/>
      <c r="AB70" s="138"/>
      <c r="AD70" s="138"/>
      <c r="AF70" s="138"/>
      <c r="AH70" s="138"/>
      <c r="AJ70" s="138"/>
      <c r="AL70" s="138"/>
      <c r="AM70" s="236"/>
      <c r="AN70" s="138"/>
      <c r="AP70" s="271"/>
    </row>
    <row r="71" spans="1:42" x14ac:dyDescent="0.2">
      <c r="B71" s="5"/>
      <c r="C71" s="5"/>
      <c r="D71" s="138"/>
      <c r="E71" s="5"/>
      <c r="F71" s="138"/>
      <c r="G71" s="5"/>
      <c r="H71" s="138"/>
      <c r="J71" s="138"/>
      <c r="L71" s="138"/>
      <c r="N71" s="138"/>
      <c r="P71" s="138"/>
      <c r="R71" s="138"/>
      <c r="S71" s="260"/>
      <c r="T71" s="138"/>
      <c r="V71" s="138"/>
      <c r="X71" s="138"/>
      <c r="Z71" s="138"/>
      <c r="AB71" s="138"/>
      <c r="AD71" s="138"/>
      <c r="AF71" s="138"/>
      <c r="AH71" s="138"/>
      <c r="AJ71" s="138"/>
      <c r="AL71" s="138"/>
      <c r="AM71" s="236"/>
      <c r="AN71" s="138"/>
      <c r="AP71" s="271"/>
    </row>
    <row r="72" spans="1:42" x14ac:dyDescent="0.2">
      <c r="B72" s="5"/>
      <c r="C72" s="5"/>
      <c r="D72" s="138"/>
      <c r="E72" s="5"/>
      <c r="F72" s="138"/>
      <c r="G72" s="5"/>
      <c r="H72" s="138"/>
      <c r="J72" s="138"/>
      <c r="L72" s="138"/>
      <c r="N72" s="138"/>
      <c r="P72" s="138"/>
      <c r="R72" s="138"/>
      <c r="S72" s="260"/>
      <c r="T72" s="138"/>
      <c r="V72" s="138"/>
      <c r="X72" s="138"/>
      <c r="Z72" s="138"/>
      <c r="AB72" s="138"/>
      <c r="AD72" s="138"/>
      <c r="AF72" s="138"/>
      <c r="AH72" s="138"/>
      <c r="AJ72" s="138"/>
      <c r="AL72" s="138"/>
      <c r="AM72" s="236"/>
      <c r="AN72" s="138"/>
      <c r="AP72" s="271"/>
    </row>
    <row r="73" spans="1:42" x14ac:dyDescent="0.2">
      <c r="B73" s="5"/>
      <c r="C73" s="5"/>
      <c r="D73" s="138"/>
      <c r="E73" s="5"/>
      <c r="F73" s="138"/>
      <c r="G73" s="5"/>
      <c r="H73" s="138"/>
      <c r="J73" s="138"/>
      <c r="L73" s="138"/>
      <c r="N73" s="138"/>
      <c r="P73" s="138"/>
      <c r="R73" s="138"/>
      <c r="S73" s="260"/>
      <c r="T73" s="138"/>
      <c r="V73" s="138"/>
      <c r="X73" s="138"/>
      <c r="Z73" s="138"/>
      <c r="AB73" s="138"/>
      <c r="AD73" s="138"/>
      <c r="AF73" s="138"/>
      <c r="AH73" s="138"/>
      <c r="AJ73" s="138"/>
      <c r="AL73" s="138"/>
      <c r="AM73" s="236"/>
      <c r="AN73" s="138"/>
      <c r="AP73" s="271"/>
    </row>
    <row r="74" spans="1:42" x14ac:dyDescent="0.2">
      <c r="A74" s="3" t="s">
        <v>144</v>
      </c>
      <c r="B74" s="5">
        <v>43050</v>
      </c>
      <c r="C74" s="5">
        <v>45630</v>
      </c>
      <c r="D74" s="138">
        <f>(C74-B74)/B74</f>
        <v>5.9930313588850176E-2</v>
      </c>
      <c r="E74" s="5">
        <v>47710</v>
      </c>
      <c r="F74" s="138">
        <f t="shared" ref="F74:F81" si="29">(E74-C74)/C74</f>
        <v>4.5584045584045586E-2</v>
      </c>
      <c r="G74" s="5">
        <v>49230</v>
      </c>
      <c r="H74" s="138">
        <f t="shared" ref="H74:H81" si="30">(G74-E74)/E74</f>
        <v>3.1859149025361556E-2</v>
      </c>
      <c r="I74" s="5">
        <v>50620</v>
      </c>
      <c r="J74" s="138">
        <f t="shared" ref="J74:J81" si="31">(I74-G74)/G74</f>
        <v>2.8234816169002641E-2</v>
      </c>
      <c r="K74" s="5">
        <v>45291</v>
      </c>
      <c r="L74" s="138">
        <f t="shared" ref="L74:L81" si="32">(K74-I74)/I74</f>
        <v>-0.10527459502173055</v>
      </c>
      <c r="M74" s="5">
        <v>46668</v>
      </c>
      <c r="N74" s="138">
        <f t="shared" ref="N74:P81" si="33">(M74-K74)/K74</f>
        <v>3.0403391402265351E-2</v>
      </c>
      <c r="O74" s="5">
        <v>46576.592094599357</v>
      </c>
      <c r="P74" s="138">
        <f t="shared" si="33"/>
        <v>-1.9586848675889981E-3</v>
      </c>
      <c r="Q74" s="5">
        <v>45805</v>
      </c>
      <c r="R74" s="138">
        <f t="shared" ref="R74:R81" si="34">(Q74-O74)/O74</f>
        <v>-1.6566091676098051E-2</v>
      </c>
      <c r="S74" s="260">
        <v>46499</v>
      </c>
      <c r="T74" s="138">
        <f t="shared" ref="T74:T81" si="35">(S74-Q74)/Q74</f>
        <v>1.5151184368518721E-2</v>
      </c>
      <c r="U74" s="236">
        <v>47585.884645990824</v>
      </c>
      <c r="V74" s="138">
        <f t="shared" ref="V74:V81" si="36">(U74-S74)/S74</f>
        <v>2.3374366029179632E-2</v>
      </c>
      <c r="W74" s="236">
        <v>48339</v>
      </c>
      <c r="X74" s="138">
        <f t="shared" ref="X74:X81" si="37">(W74-U74)/U74</f>
        <v>1.5826444325074188E-2</v>
      </c>
      <c r="Y74" s="236">
        <v>50433.859851632988</v>
      </c>
      <c r="Z74" s="138">
        <f t="shared" ref="Z74:Z81" si="38">(Y74-W74)/W74</f>
        <v>4.3336847093092275E-2</v>
      </c>
      <c r="AA74" s="236">
        <v>50561.316181950358</v>
      </c>
      <c r="AB74" s="138">
        <f t="shared" ref="AB74:AB81" si="39">(AA74-Y74)/Y74</f>
        <v>2.5271976147041618E-3</v>
      </c>
      <c r="AC74" s="236">
        <v>51324.740734625622</v>
      </c>
      <c r="AD74" s="138">
        <f t="shared" ref="AD74:AF81" si="40">(AC74-AA74)/AA74</f>
        <v>1.5098984961704677E-2</v>
      </c>
      <c r="AE74" s="236">
        <v>48818</v>
      </c>
      <c r="AF74" s="138">
        <f t="shared" si="40"/>
        <v>-4.884078708914899E-2</v>
      </c>
      <c r="AG74" s="236">
        <v>49861</v>
      </c>
      <c r="AH74" s="138">
        <f t="shared" ref="AH74:AH81" si="41">(AG74-AE74)/AE74</f>
        <v>2.1365070260969315E-2</v>
      </c>
      <c r="AI74" s="236">
        <v>51771</v>
      </c>
      <c r="AJ74" s="138">
        <f t="shared" ref="AJ74:AJ81" si="42">(AI74-AG74)/AG74</f>
        <v>3.8306492047893145E-2</v>
      </c>
      <c r="AK74" s="236">
        <v>53384</v>
      </c>
      <c r="AL74" s="138">
        <f t="shared" ref="AL74:AL81" si="43">(AK74-AI74)/AI74</f>
        <v>3.1156438932993375E-2</v>
      </c>
      <c r="AM74" s="236">
        <v>53357.585131492</v>
      </c>
      <c r="AN74" s="138">
        <f t="shared" ref="AN74:AN81" si="44">(AM74-AK74)/AK74</f>
        <v>-4.9480871624456627E-4</v>
      </c>
      <c r="AO74" s="135" t="str">
        <f t="shared" si="27"/>
        <v xml:space="preserve"> </v>
      </c>
      <c r="AP74" s="271">
        <f t="shared" ref="AP74:AP127" si="45">AVERAGE(AN74,AL74,AJ74,AH74,AF74)</f>
        <v>8.2984810872924562E-3</v>
      </c>
    </row>
    <row r="75" spans="1:42" x14ac:dyDescent="0.2">
      <c r="A75" s="3" t="s">
        <v>87</v>
      </c>
      <c r="B75" s="5">
        <v>2400</v>
      </c>
      <c r="C75" s="5">
        <v>2710</v>
      </c>
      <c r="D75" s="138">
        <f>(C75-B75)/B75</f>
        <v>0.12916666666666668</v>
      </c>
      <c r="E75" s="5">
        <v>2420</v>
      </c>
      <c r="F75" s="138">
        <f t="shared" si="29"/>
        <v>-0.1070110701107011</v>
      </c>
      <c r="G75" s="5">
        <v>2430</v>
      </c>
      <c r="H75" s="138">
        <f t="shared" si="30"/>
        <v>4.1322314049586778E-3</v>
      </c>
      <c r="I75" s="5">
        <v>2390</v>
      </c>
      <c r="J75" s="138">
        <f t="shared" si="31"/>
        <v>-1.646090534979424E-2</v>
      </c>
      <c r="K75" s="5">
        <v>2161</v>
      </c>
      <c r="L75" s="138">
        <f t="shared" si="32"/>
        <v>-9.5815899581589953E-2</v>
      </c>
      <c r="M75" s="5">
        <v>2215</v>
      </c>
      <c r="N75" s="138">
        <f t="shared" si="33"/>
        <v>2.4988431281813973E-2</v>
      </c>
      <c r="O75" s="5">
        <v>2073.824156428127</v>
      </c>
      <c r="P75" s="138">
        <f t="shared" si="33"/>
        <v>-6.3736272492944904E-2</v>
      </c>
      <c r="Q75" s="5">
        <v>2045</v>
      </c>
      <c r="R75" s="138">
        <f t="shared" si="34"/>
        <v>-1.3899035913330577E-2</v>
      </c>
      <c r="S75" s="260">
        <v>2240</v>
      </c>
      <c r="T75" s="138">
        <f t="shared" si="35"/>
        <v>9.5354523227383858E-2</v>
      </c>
      <c r="U75" s="236">
        <v>2261.4630911329123</v>
      </c>
      <c r="V75" s="138">
        <f t="shared" si="36"/>
        <v>9.5817371129072633E-3</v>
      </c>
      <c r="W75" s="236">
        <v>2281.435987959384</v>
      </c>
      <c r="X75" s="138">
        <f t="shared" si="37"/>
        <v>8.8318473579270269E-3</v>
      </c>
      <c r="Y75" s="236">
        <v>2294.5121407867741</v>
      </c>
      <c r="Z75" s="138">
        <f t="shared" si="38"/>
        <v>5.7315449113634976E-3</v>
      </c>
      <c r="AA75" s="236">
        <v>2322.4646357327561</v>
      </c>
      <c r="AB75" s="138">
        <f t="shared" si="39"/>
        <v>1.218232601567198E-2</v>
      </c>
      <c r="AC75" s="236">
        <v>2344.9771010118852</v>
      </c>
      <c r="AD75" s="138">
        <f t="shared" si="40"/>
        <v>9.6933511635695201E-3</v>
      </c>
      <c r="AE75" s="236">
        <v>2368</v>
      </c>
      <c r="AF75" s="138">
        <f t="shared" si="40"/>
        <v>9.8179632450057282E-3</v>
      </c>
      <c r="AG75" s="236">
        <v>2376</v>
      </c>
      <c r="AH75" s="138">
        <f t="shared" si="41"/>
        <v>3.3783783783783786E-3</v>
      </c>
      <c r="AI75" s="236">
        <v>2376</v>
      </c>
      <c r="AJ75" s="138">
        <f t="shared" si="42"/>
        <v>0</v>
      </c>
      <c r="AK75" s="236">
        <v>2851</v>
      </c>
      <c r="AL75" s="138">
        <f t="shared" si="43"/>
        <v>0.19991582491582491</v>
      </c>
      <c r="AM75" s="236">
        <v>2730.9309683012088</v>
      </c>
      <c r="AN75" s="138">
        <f t="shared" si="44"/>
        <v>-4.2114707716166662E-2</v>
      </c>
      <c r="AO75" s="135" t="str">
        <f t="shared" si="27"/>
        <v xml:space="preserve"> </v>
      </c>
      <c r="AP75" s="271">
        <f t="shared" si="45"/>
        <v>3.4199491764608472E-2</v>
      </c>
    </row>
    <row r="76" spans="1:42" x14ac:dyDescent="0.2">
      <c r="A76" s="3" t="s">
        <v>145</v>
      </c>
      <c r="B76" s="5">
        <v>17100</v>
      </c>
      <c r="C76" s="5">
        <v>18570</v>
      </c>
      <c r="D76" s="138">
        <f>(C76-B76)/B76</f>
        <v>8.5964912280701758E-2</v>
      </c>
      <c r="E76" s="5">
        <v>18210</v>
      </c>
      <c r="F76" s="138">
        <f t="shared" si="29"/>
        <v>-1.9386106623586429E-2</v>
      </c>
      <c r="G76" s="5">
        <v>18420</v>
      </c>
      <c r="H76" s="138">
        <f t="shared" si="30"/>
        <v>1.1532125205930808E-2</v>
      </c>
      <c r="I76" s="5">
        <v>18510</v>
      </c>
      <c r="J76" s="138">
        <f t="shared" si="31"/>
        <v>4.8859934853420191E-3</v>
      </c>
      <c r="K76" s="5">
        <v>16708</v>
      </c>
      <c r="L76" s="138">
        <f t="shared" si="32"/>
        <v>-9.7352782279848726E-2</v>
      </c>
      <c r="M76" s="5">
        <v>17093</v>
      </c>
      <c r="N76" s="138">
        <f t="shared" si="33"/>
        <v>2.3042853722767535E-2</v>
      </c>
      <c r="O76" s="5">
        <v>16689.710545159109</v>
      </c>
      <c r="P76" s="138">
        <f t="shared" si="33"/>
        <v>-2.3593836941490157E-2</v>
      </c>
      <c r="Q76" s="5">
        <v>16354</v>
      </c>
      <c r="R76" s="138">
        <f t="shared" si="34"/>
        <v>-2.0114821299670915E-2</v>
      </c>
      <c r="S76" s="260">
        <v>17140</v>
      </c>
      <c r="T76" s="138">
        <f t="shared" si="35"/>
        <v>4.8061636296930416E-2</v>
      </c>
      <c r="U76" s="236">
        <v>17849.822634744356</v>
      </c>
      <c r="V76" s="138">
        <f t="shared" si="36"/>
        <v>4.1413222563848079E-2</v>
      </c>
      <c r="W76" s="236">
        <v>18183.347604730199</v>
      </c>
      <c r="X76" s="138">
        <f t="shared" si="37"/>
        <v>1.8685057930863856E-2</v>
      </c>
      <c r="Y76" s="236">
        <v>18427.070932349332</v>
      </c>
      <c r="Z76" s="138">
        <f t="shared" si="38"/>
        <v>1.3403655526869585E-2</v>
      </c>
      <c r="AA76" s="236">
        <v>18424.284440334832</v>
      </c>
      <c r="AB76" s="138">
        <f t="shared" si="39"/>
        <v>-1.5121730549202345E-4</v>
      </c>
      <c r="AC76" s="236">
        <v>18427.966070366907</v>
      </c>
      <c r="AD76" s="138">
        <f t="shared" si="40"/>
        <v>1.9982485854458959E-4</v>
      </c>
      <c r="AE76" s="236">
        <v>18297</v>
      </c>
      <c r="AF76" s="138">
        <f t="shared" si="40"/>
        <v>-7.1069194433512088E-3</v>
      </c>
      <c r="AG76" s="236">
        <v>19209</v>
      </c>
      <c r="AH76" s="138">
        <f t="shared" si="41"/>
        <v>4.9844236760124609E-2</v>
      </c>
      <c r="AI76" s="236">
        <v>20406</v>
      </c>
      <c r="AJ76" s="138">
        <f t="shared" si="42"/>
        <v>6.2314540059347182E-2</v>
      </c>
      <c r="AK76" s="236">
        <v>20958</v>
      </c>
      <c r="AL76" s="138">
        <f t="shared" si="43"/>
        <v>2.7050867391943546E-2</v>
      </c>
      <c r="AM76" s="236">
        <v>20864.992049616001</v>
      </c>
      <c r="AN76" s="138">
        <f t="shared" si="44"/>
        <v>-4.4378256696249088E-3</v>
      </c>
      <c r="AO76" s="135" t="str">
        <f t="shared" si="27"/>
        <v xml:space="preserve"> </v>
      </c>
      <c r="AP76" s="271">
        <f t="shared" si="45"/>
        <v>2.5532979819687846E-2</v>
      </c>
    </row>
    <row r="77" spans="1:42" x14ac:dyDescent="0.2">
      <c r="A77" s="3" t="s">
        <v>89</v>
      </c>
      <c r="B77" s="5">
        <v>1370</v>
      </c>
      <c r="C77" s="5">
        <v>1360</v>
      </c>
      <c r="D77" s="138">
        <f>(C77-B77)/B77</f>
        <v>-7.2992700729927005E-3</v>
      </c>
      <c r="E77" s="5">
        <v>1460</v>
      </c>
      <c r="F77" s="138">
        <f t="shared" si="29"/>
        <v>7.3529411764705885E-2</v>
      </c>
      <c r="G77" s="5">
        <v>1500</v>
      </c>
      <c r="H77" s="138">
        <f t="shared" si="30"/>
        <v>2.7397260273972601E-2</v>
      </c>
      <c r="I77" s="5">
        <v>1510</v>
      </c>
      <c r="J77" s="138">
        <f t="shared" si="31"/>
        <v>6.6666666666666671E-3</v>
      </c>
      <c r="K77" s="5">
        <v>1346</v>
      </c>
      <c r="L77" s="138">
        <f t="shared" si="32"/>
        <v>-0.10860927152317881</v>
      </c>
      <c r="M77" s="5">
        <v>1191</v>
      </c>
      <c r="N77" s="138">
        <f t="shared" si="33"/>
        <v>-0.11515601783060921</v>
      </c>
      <c r="O77" s="5">
        <v>1388.6059658001118</v>
      </c>
      <c r="P77" s="138">
        <f t="shared" si="33"/>
        <v>0.16591600822847338</v>
      </c>
      <c r="Q77" s="5">
        <v>1373</v>
      </c>
      <c r="R77" s="138">
        <f t="shared" si="34"/>
        <v>-1.1238584727755843E-2</v>
      </c>
      <c r="S77" s="260">
        <v>1406</v>
      </c>
      <c r="T77" s="138">
        <f t="shared" si="35"/>
        <v>2.4034959941733429E-2</v>
      </c>
      <c r="U77" s="236">
        <v>1422.6757065042486</v>
      </c>
      <c r="V77" s="138">
        <f t="shared" si="36"/>
        <v>1.1860388694344692E-2</v>
      </c>
      <c r="W77" s="236">
        <v>1449.3852870357105</v>
      </c>
      <c r="X77" s="138">
        <f t="shared" si="37"/>
        <v>1.8774187546290306E-2</v>
      </c>
      <c r="Y77" s="236">
        <v>1507.5635288365656</v>
      </c>
      <c r="Z77" s="138">
        <f t="shared" si="38"/>
        <v>4.0139942306052785E-2</v>
      </c>
      <c r="AA77" s="236">
        <v>1524.0548661066562</v>
      </c>
      <c r="AB77" s="138">
        <f t="shared" si="39"/>
        <v>1.09390662182027E-2</v>
      </c>
      <c r="AC77" s="236">
        <v>1514.6386074184193</v>
      </c>
      <c r="AD77" s="138">
        <f t="shared" si="40"/>
        <v>-6.1784250013856958E-3</v>
      </c>
      <c r="AE77" s="236">
        <v>1292</v>
      </c>
      <c r="AF77" s="138">
        <f t="shared" si="40"/>
        <v>-0.14699124023907525</v>
      </c>
      <c r="AG77" s="236">
        <v>1174</v>
      </c>
      <c r="AH77" s="138">
        <f t="shared" si="41"/>
        <v>-9.1331269349845201E-2</v>
      </c>
      <c r="AI77" s="236">
        <v>1280</v>
      </c>
      <c r="AJ77" s="138">
        <f t="shared" si="42"/>
        <v>9.0289608177172062E-2</v>
      </c>
      <c r="AK77" s="236">
        <v>1307</v>
      </c>
      <c r="AL77" s="138">
        <f t="shared" si="43"/>
        <v>2.1093750000000001E-2</v>
      </c>
      <c r="AM77" s="236">
        <v>1410.5979514474848</v>
      </c>
      <c r="AN77" s="138">
        <f t="shared" si="44"/>
        <v>7.9263926126614218E-2</v>
      </c>
      <c r="AO77" s="135" t="str">
        <f t="shared" si="27"/>
        <v xml:space="preserve"> </v>
      </c>
      <c r="AP77" s="271">
        <f t="shared" si="45"/>
        <v>-9.5350450570268301E-3</v>
      </c>
    </row>
    <row r="78" spans="1:42" x14ac:dyDescent="0.2">
      <c r="A78" s="3" t="s">
        <v>90</v>
      </c>
      <c r="B78" s="5">
        <v>2680</v>
      </c>
      <c r="C78" s="5">
        <v>2970</v>
      </c>
      <c r="D78" s="138">
        <f>(C78-B78)/B78</f>
        <v>0.10820895522388059</v>
      </c>
      <c r="E78" s="5">
        <v>3260</v>
      </c>
      <c r="F78" s="138">
        <f t="shared" si="29"/>
        <v>9.7643097643097643E-2</v>
      </c>
      <c r="G78" s="5">
        <v>3320</v>
      </c>
      <c r="H78" s="138">
        <f t="shared" si="30"/>
        <v>1.8404907975460124E-2</v>
      </c>
      <c r="I78" s="5">
        <v>3540</v>
      </c>
      <c r="J78" s="138">
        <f t="shared" si="31"/>
        <v>6.6265060240963861E-2</v>
      </c>
      <c r="K78" s="5">
        <v>4721</v>
      </c>
      <c r="L78" s="138">
        <f t="shared" si="32"/>
        <v>0.33361581920903954</v>
      </c>
      <c r="M78" s="5">
        <v>4614</v>
      </c>
      <c r="N78" s="138">
        <f t="shared" si="33"/>
        <v>-2.2664689684388901E-2</v>
      </c>
      <c r="O78" s="5">
        <v>4660.8397993469544</v>
      </c>
      <c r="P78" s="138">
        <f t="shared" si="33"/>
        <v>1.0151668692447843E-2</v>
      </c>
      <c r="Q78" s="5">
        <v>4732</v>
      </c>
      <c r="R78" s="138">
        <f t="shared" si="34"/>
        <v>1.5267677868485447E-2</v>
      </c>
      <c r="S78" s="260">
        <v>4830</v>
      </c>
      <c r="T78" s="138">
        <f t="shared" si="35"/>
        <v>2.0710059171597635E-2</v>
      </c>
      <c r="U78" s="236">
        <v>4847.7001702855832</v>
      </c>
      <c r="V78" s="138">
        <f t="shared" si="36"/>
        <v>3.6646315291062582E-3</v>
      </c>
      <c r="W78" s="236">
        <v>4870.508878872588</v>
      </c>
      <c r="X78" s="138">
        <f t="shared" si="37"/>
        <v>4.7050576120224539E-3</v>
      </c>
      <c r="Y78" s="236">
        <v>4958.025116841136</v>
      </c>
      <c r="Z78" s="138">
        <f t="shared" si="38"/>
        <v>1.796860249001456E-2</v>
      </c>
      <c r="AA78" s="236">
        <v>4990.2501378589677</v>
      </c>
      <c r="AB78" s="138">
        <f t="shared" si="39"/>
        <v>6.4995679244083783E-3</v>
      </c>
      <c r="AC78" s="236">
        <v>4945.2622511544096</v>
      </c>
      <c r="AD78" s="138">
        <f t="shared" si="40"/>
        <v>-9.0151566478108239E-3</v>
      </c>
      <c r="AE78" s="236">
        <v>4410</v>
      </c>
      <c r="AF78" s="138">
        <f t="shared" si="40"/>
        <v>-0.10823738438329722</v>
      </c>
      <c r="AG78" s="236">
        <v>4470</v>
      </c>
      <c r="AH78" s="138">
        <f t="shared" si="41"/>
        <v>1.3605442176870748E-2</v>
      </c>
      <c r="AI78" s="236">
        <v>4367</v>
      </c>
      <c r="AJ78" s="138">
        <f t="shared" si="42"/>
        <v>-2.3042505592841163E-2</v>
      </c>
      <c r="AK78" s="236">
        <v>4453</v>
      </c>
      <c r="AL78" s="138">
        <f t="shared" si="43"/>
        <v>1.969315319441264E-2</v>
      </c>
      <c r="AM78" s="236">
        <v>4420.4197170520292</v>
      </c>
      <c r="AN78" s="138">
        <f t="shared" si="44"/>
        <v>-7.3164794403707102E-3</v>
      </c>
      <c r="AO78" s="135" t="str">
        <f t="shared" si="27"/>
        <v xml:space="preserve"> </v>
      </c>
      <c r="AP78" s="271">
        <f t="shared" si="45"/>
        <v>-2.1059554809045141E-2</v>
      </c>
    </row>
    <row r="79" spans="1:42" x14ac:dyDescent="0.2">
      <c r="A79" s="3" t="s">
        <v>91</v>
      </c>
      <c r="B79" s="5"/>
      <c r="C79" s="5">
        <v>983</v>
      </c>
      <c r="D79" s="138"/>
      <c r="E79" s="5">
        <v>1030</v>
      </c>
      <c r="F79" s="138">
        <f t="shared" si="29"/>
        <v>4.7812817904374368E-2</v>
      </c>
      <c r="G79" s="5">
        <v>1000</v>
      </c>
      <c r="H79" s="138">
        <f t="shared" si="30"/>
        <v>-2.9126213592233011E-2</v>
      </c>
      <c r="I79" s="5">
        <v>1240</v>
      </c>
      <c r="J79" s="138">
        <f t="shared" si="31"/>
        <v>0.24</v>
      </c>
      <c r="K79" s="5">
        <v>1168.7806443098434</v>
      </c>
      <c r="L79" s="138">
        <f t="shared" si="32"/>
        <v>-5.7434964266255314E-2</v>
      </c>
      <c r="M79" s="5">
        <v>1287</v>
      </c>
      <c r="N79" s="138">
        <f t="shared" si="33"/>
        <v>0.10114759879512231</v>
      </c>
      <c r="O79" s="5">
        <v>1287.9808555016079</v>
      </c>
      <c r="P79" s="138">
        <f t="shared" si="33"/>
        <v>7.6212548687486258E-4</v>
      </c>
      <c r="Q79" s="5">
        <v>1271</v>
      </c>
      <c r="R79" s="138">
        <f t="shared" si="34"/>
        <v>-1.3184089987886274E-2</v>
      </c>
      <c r="S79" s="260">
        <v>1281</v>
      </c>
      <c r="T79" s="138">
        <f t="shared" si="35"/>
        <v>7.8678206136900079E-3</v>
      </c>
      <c r="U79" s="236">
        <v>1273.3204119169259</v>
      </c>
      <c r="V79" s="138">
        <f t="shared" si="36"/>
        <v>-5.9949946003701191E-3</v>
      </c>
      <c r="W79" s="236">
        <v>1293.2047160296877</v>
      </c>
      <c r="X79" s="138">
        <f t="shared" si="37"/>
        <v>1.5616104105978241E-2</v>
      </c>
      <c r="Y79" s="236">
        <v>1217.3526040735708</v>
      </c>
      <c r="Z79" s="138">
        <f t="shared" si="38"/>
        <v>-5.8654373136677922E-2</v>
      </c>
      <c r="AA79" s="236">
        <v>1221.9717783346307</v>
      </c>
      <c r="AB79" s="138">
        <f t="shared" si="39"/>
        <v>3.7944423379085036E-3</v>
      </c>
      <c r="AC79" s="236">
        <v>1184.065094192217</v>
      </c>
      <c r="AD79" s="138">
        <f t="shared" si="40"/>
        <v>-3.1020916206489651E-2</v>
      </c>
      <c r="AE79" s="236">
        <v>1103</v>
      </c>
      <c r="AF79" s="138">
        <f t="shared" si="40"/>
        <v>-6.8463376371651702E-2</v>
      </c>
      <c r="AG79" s="236">
        <v>963</v>
      </c>
      <c r="AH79" s="138">
        <f t="shared" si="41"/>
        <v>-0.12692656391659113</v>
      </c>
      <c r="AI79" s="236">
        <v>914</v>
      </c>
      <c r="AJ79" s="138">
        <f t="shared" si="42"/>
        <v>-5.0882658359293877E-2</v>
      </c>
      <c r="AK79" s="236">
        <v>923</v>
      </c>
      <c r="AL79" s="138">
        <f t="shared" si="43"/>
        <v>9.8468271334792128E-3</v>
      </c>
      <c r="AM79" s="236">
        <v>906.62113468966425</v>
      </c>
      <c r="AN79" s="138">
        <f t="shared" si="44"/>
        <v>-1.7745249523657372E-2</v>
      </c>
      <c r="AO79" s="135" t="str">
        <f t="shared" si="27"/>
        <v xml:space="preserve"> </v>
      </c>
      <c r="AP79" s="271">
        <f t="shared" si="45"/>
        <v>-5.0834204207542963E-2</v>
      </c>
    </row>
    <row r="80" spans="1:42" x14ac:dyDescent="0.2">
      <c r="A80" s="3" t="s">
        <v>92</v>
      </c>
      <c r="B80" s="5"/>
      <c r="C80" s="5">
        <v>195</v>
      </c>
      <c r="D80" s="138"/>
      <c r="E80" s="5">
        <v>200</v>
      </c>
      <c r="F80" s="138">
        <f t="shared" si="29"/>
        <v>2.564102564102564E-2</v>
      </c>
      <c r="G80" s="5">
        <v>210</v>
      </c>
      <c r="H80" s="138">
        <f t="shared" si="30"/>
        <v>0.05</v>
      </c>
      <c r="I80" s="5">
        <v>150</v>
      </c>
      <c r="J80" s="138">
        <f t="shared" si="31"/>
        <v>-0.2857142857142857</v>
      </c>
      <c r="K80" s="5">
        <v>189.2834396624954</v>
      </c>
      <c r="L80" s="138">
        <f t="shared" si="32"/>
        <v>0.26188959774996934</v>
      </c>
      <c r="M80" s="5">
        <v>181</v>
      </c>
      <c r="N80" s="138">
        <f t="shared" si="33"/>
        <v>-4.3762093911994121E-2</v>
      </c>
      <c r="O80" s="5">
        <v>176.19776635956487</v>
      </c>
      <c r="P80" s="138">
        <f t="shared" si="33"/>
        <v>-2.6531677571464827E-2</v>
      </c>
      <c r="Q80" s="5">
        <v>181</v>
      </c>
      <c r="R80" s="138">
        <f t="shared" si="34"/>
        <v>2.7254792950299197E-2</v>
      </c>
      <c r="S80" s="260">
        <v>179</v>
      </c>
      <c r="T80" s="138">
        <f t="shared" si="35"/>
        <v>-1.1049723756906077E-2</v>
      </c>
      <c r="U80" s="236">
        <v>181.21258234111841</v>
      </c>
      <c r="V80" s="138">
        <f t="shared" si="36"/>
        <v>1.2360795201778803E-2</v>
      </c>
      <c r="W80" s="236">
        <v>174.54560260707458</v>
      </c>
      <c r="X80" s="138">
        <f t="shared" si="37"/>
        <v>-3.6790931666619911E-2</v>
      </c>
      <c r="Y80" s="236">
        <v>164.61431308324387</v>
      </c>
      <c r="Z80" s="138">
        <f t="shared" si="38"/>
        <v>-5.6897964632127512E-2</v>
      </c>
      <c r="AA80" s="236">
        <v>165.21013586099019</v>
      </c>
      <c r="AB80" s="138">
        <f t="shared" si="39"/>
        <v>3.6195077243679225E-3</v>
      </c>
      <c r="AC80" s="236">
        <v>167.37959025684594</v>
      </c>
      <c r="AD80" s="138">
        <f t="shared" si="40"/>
        <v>1.3131484848370059E-2</v>
      </c>
      <c r="AE80" s="236">
        <v>156</v>
      </c>
      <c r="AF80" s="138">
        <f t="shared" si="40"/>
        <v>-6.7986725498514061E-2</v>
      </c>
      <c r="AG80" s="236">
        <v>79</v>
      </c>
      <c r="AH80" s="138">
        <f t="shared" si="41"/>
        <v>-0.49358974358974361</v>
      </c>
      <c r="AI80" s="236">
        <v>60</v>
      </c>
      <c r="AJ80" s="138">
        <f t="shared" si="42"/>
        <v>-0.24050632911392406</v>
      </c>
      <c r="AK80" s="236">
        <v>60</v>
      </c>
      <c r="AL80" s="138">
        <f t="shared" si="43"/>
        <v>0</v>
      </c>
      <c r="AM80" s="236">
        <v>56.460968306397334</v>
      </c>
      <c r="AN80" s="138">
        <f t="shared" si="44"/>
        <v>-5.898386156004444E-2</v>
      </c>
      <c r="AO80" s="135" t="str">
        <f t="shared" si="27"/>
        <v xml:space="preserve"> </v>
      </c>
      <c r="AP80" s="271">
        <f t="shared" si="45"/>
        <v>-0.1722133319524452</v>
      </c>
    </row>
    <row r="81" spans="1:42" x14ac:dyDescent="0.2">
      <c r="A81" s="3" t="s">
        <v>93</v>
      </c>
      <c r="B81" s="5"/>
      <c r="C81" s="5">
        <v>140</v>
      </c>
      <c r="D81" s="138"/>
      <c r="E81" s="5">
        <v>150</v>
      </c>
      <c r="F81" s="138">
        <f t="shared" si="29"/>
        <v>7.1428571428571425E-2</v>
      </c>
      <c r="G81" s="5">
        <v>150</v>
      </c>
      <c r="H81" s="138">
        <f t="shared" si="30"/>
        <v>0</v>
      </c>
      <c r="I81" s="5">
        <v>150</v>
      </c>
      <c r="J81" s="138">
        <f t="shared" si="31"/>
        <v>0</v>
      </c>
      <c r="K81" s="5">
        <v>134.2818261336019</v>
      </c>
      <c r="L81" s="138">
        <f t="shared" si="32"/>
        <v>-0.10478782577598736</v>
      </c>
      <c r="M81" s="5">
        <v>132</v>
      </c>
      <c r="N81" s="138">
        <f t="shared" si="33"/>
        <v>-1.6992814286958119E-2</v>
      </c>
      <c r="O81" s="5">
        <v>126.56459273715222</v>
      </c>
      <c r="P81" s="138">
        <f t="shared" si="33"/>
        <v>-4.1177327748846783E-2</v>
      </c>
      <c r="Q81" s="5">
        <v>125</v>
      </c>
      <c r="R81" s="138">
        <f t="shared" si="34"/>
        <v>-1.2362009811081615E-2</v>
      </c>
      <c r="S81" s="260">
        <v>123</v>
      </c>
      <c r="T81" s="138">
        <f t="shared" si="35"/>
        <v>-1.6E-2</v>
      </c>
      <c r="U81" s="236">
        <v>120.80838822741229</v>
      </c>
      <c r="V81" s="138">
        <f t="shared" si="36"/>
        <v>-1.7817981890956958E-2</v>
      </c>
      <c r="W81" s="236">
        <v>124.50260855793611</v>
      </c>
      <c r="X81" s="138">
        <f t="shared" si="37"/>
        <v>3.0579170740774556E-2</v>
      </c>
      <c r="Y81" s="236">
        <v>128.82859284775608</v>
      </c>
      <c r="Z81" s="138">
        <f t="shared" si="38"/>
        <v>3.4746133755156741E-2</v>
      </c>
      <c r="AA81" s="236">
        <v>130.00273839076627</v>
      </c>
      <c r="AB81" s="138">
        <f t="shared" si="39"/>
        <v>9.1140135668309041E-3</v>
      </c>
      <c r="AC81" s="236">
        <v>120.86756647827949</v>
      </c>
      <c r="AD81" s="138">
        <f t="shared" si="40"/>
        <v>-7.0269072986970466E-2</v>
      </c>
      <c r="AE81" s="236">
        <v>112</v>
      </c>
      <c r="AF81" s="138">
        <f t="shared" si="40"/>
        <v>-7.336597183722593E-2</v>
      </c>
      <c r="AG81" s="236">
        <v>102</v>
      </c>
      <c r="AH81" s="138">
        <f t="shared" si="41"/>
        <v>-8.9285714285714288E-2</v>
      </c>
      <c r="AI81" s="236">
        <v>110</v>
      </c>
      <c r="AJ81" s="138">
        <f t="shared" si="42"/>
        <v>7.8431372549019607E-2</v>
      </c>
      <c r="AK81" s="236">
        <v>109</v>
      </c>
      <c r="AL81" s="138">
        <f t="shared" si="43"/>
        <v>-9.0909090909090905E-3</v>
      </c>
      <c r="AM81" s="236">
        <v>107.00154647773232</v>
      </c>
      <c r="AN81" s="138">
        <f t="shared" si="44"/>
        <v>-1.8334435984107167E-2</v>
      </c>
      <c r="AO81" s="135" t="str">
        <f t="shared" si="27"/>
        <v xml:space="preserve"> </v>
      </c>
      <c r="AP81" s="271">
        <f t="shared" si="45"/>
        <v>-2.2329131729787375E-2</v>
      </c>
    </row>
    <row r="82" spans="1:42" x14ac:dyDescent="0.2">
      <c r="A82" s="3" t="s">
        <v>146</v>
      </c>
      <c r="B82" s="5"/>
      <c r="C82" s="5"/>
      <c r="D82" s="138"/>
      <c r="E82" s="5"/>
      <c r="F82" s="138"/>
      <c r="G82" s="5"/>
      <c r="H82" s="138"/>
      <c r="J82" s="138"/>
      <c r="L82" s="138"/>
      <c r="N82" s="138"/>
      <c r="P82" s="138"/>
      <c r="R82" s="138"/>
      <c r="S82" s="260"/>
      <c r="T82" s="138"/>
      <c r="V82" s="138"/>
      <c r="X82" s="138"/>
      <c r="Z82" s="138"/>
      <c r="AB82" s="138"/>
      <c r="AD82" s="138"/>
      <c r="AF82" s="138"/>
      <c r="AH82" s="138"/>
      <c r="AJ82" s="138"/>
      <c r="AL82" s="138"/>
      <c r="AM82" s="236"/>
      <c r="AN82" s="138"/>
      <c r="AP82" s="271"/>
    </row>
    <row r="83" spans="1:42" x14ac:dyDescent="0.2">
      <c r="A83" s="3" t="s">
        <v>147</v>
      </c>
      <c r="B83" s="5"/>
      <c r="C83" s="5"/>
      <c r="D83" s="138"/>
      <c r="E83" s="5"/>
      <c r="F83" s="138"/>
      <c r="G83" s="5"/>
      <c r="H83" s="138"/>
      <c r="J83" s="138"/>
      <c r="L83" s="138"/>
      <c r="N83" s="138"/>
      <c r="P83" s="138"/>
      <c r="R83" s="138"/>
      <c r="S83" s="260"/>
      <c r="T83" s="138"/>
      <c r="V83" s="138"/>
      <c r="X83" s="138"/>
      <c r="Z83" s="138"/>
      <c r="AB83" s="138"/>
      <c r="AD83" s="138"/>
      <c r="AF83" s="138"/>
      <c r="AH83" s="138"/>
      <c r="AJ83" s="138"/>
      <c r="AL83" s="138"/>
      <c r="AM83" s="236"/>
      <c r="AN83" s="138"/>
      <c r="AP83" s="271"/>
    </row>
    <row r="84" spans="1:42" x14ac:dyDescent="0.2">
      <c r="B84" s="5"/>
      <c r="C84" s="5"/>
      <c r="D84" s="138"/>
      <c r="E84" s="5"/>
      <c r="F84" s="138"/>
      <c r="G84" s="5"/>
      <c r="H84" s="138"/>
      <c r="J84" s="138"/>
      <c r="L84" s="138"/>
      <c r="N84" s="138"/>
      <c r="P84" s="138"/>
      <c r="R84" s="138"/>
      <c r="S84" s="260"/>
      <c r="T84" s="138"/>
      <c r="V84" s="138"/>
      <c r="X84" s="138"/>
      <c r="Z84" s="138"/>
      <c r="AB84" s="138"/>
      <c r="AD84" s="138"/>
      <c r="AF84" s="138"/>
      <c r="AH84" s="138"/>
      <c r="AJ84" s="138"/>
      <c r="AL84" s="138"/>
      <c r="AM84" s="236"/>
      <c r="AN84" s="138"/>
      <c r="AP84" s="271"/>
    </row>
    <row r="85" spans="1:42" x14ac:dyDescent="0.2">
      <c r="B85" s="5"/>
      <c r="C85" s="5"/>
      <c r="D85" s="138"/>
      <c r="E85" s="5"/>
      <c r="F85" s="138"/>
      <c r="G85" s="5"/>
      <c r="H85" s="138"/>
      <c r="J85" s="138"/>
      <c r="L85" s="138"/>
      <c r="N85" s="138"/>
      <c r="P85" s="138"/>
      <c r="R85" s="138"/>
      <c r="S85" s="260"/>
      <c r="T85" s="138"/>
      <c r="V85" s="138"/>
      <c r="X85" s="138"/>
      <c r="Z85" s="138"/>
      <c r="AB85" s="138"/>
      <c r="AD85" s="138"/>
      <c r="AF85" s="138"/>
      <c r="AH85" s="138"/>
      <c r="AJ85" s="138"/>
      <c r="AL85" s="138"/>
      <c r="AM85" s="236"/>
      <c r="AN85" s="138"/>
      <c r="AP85" s="271"/>
    </row>
    <row r="86" spans="1:42" x14ac:dyDescent="0.2">
      <c r="B86" s="5"/>
      <c r="C86" s="5"/>
      <c r="D86" s="138"/>
      <c r="E86" s="5"/>
      <c r="F86" s="138"/>
      <c r="G86" s="5"/>
      <c r="H86" s="138"/>
      <c r="J86" s="138"/>
      <c r="L86" s="138"/>
      <c r="N86" s="138"/>
      <c r="P86" s="138"/>
      <c r="R86" s="138"/>
      <c r="S86" s="260"/>
      <c r="T86" s="138"/>
      <c r="V86" s="138"/>
      <c r="X86" s="138"/>
      <c r="Z86" s="138"/>
      <c r="AB86" s="138"/>
      <c r="AD86" s="138"/>
      <c r="AF86" s="138"/>
      <c r="AH86" s="138"/>
      <c r="AJ86" s="138"/>
      <c r="AL86" s="138"/>
      <c r="AM86" s="236"/>
      <c r="AN86" s="138"/>
      <c r="AP86" s="271"/>
    </row>
    <row r="87" spans="1:42" x14ac:dyDescent="0.2">
      <c r="A87" s="3" t="s">
        <v>11</v>
      </c>
      <c r="B87" s="5">
        <v>1630</v>
      </c>
      <c r="C87" s="5">
        <v>1490</v>
      </c>
      <c r="D87" s="138">
        <f>(C87-B87)/B87</f>
        <v>-8.5889570552147243E-2</v>
      </c>
      <c r="E87" s="5">
        <v>1460</v>
      </c>
      <c r="F87" s="138">
        <f>(E87-C87)/C87</f>
        <v>-2.0134228187919462E-2</v>
      </c>
      <c r="G87" s="5">
        <v>1420</v>
      </c>
      <c r="H87" s="138">
        <f>(G87-E87)/E87</f>
        <v>-2.7397260273972601E-2</v>
      </c>
      <c r="I87" s="5">
        <v>1520</v>
      </c>
      <c r="J87" s="138">
        <f>(I87-G87)/G87</f>
        <v>7.0422535211267609E-2</v>
      </c>
      <c r="K87" s="5">
        <v>971</v>
      </c>
      <c r="L87" s="138">
        <f>(K87-I87)/I87</f>
        <v>-0.36118421052631577</v>
      </c>
      <c r="M87" s="5">
        <v>1038</v>
      </c>
      <c r="N87" s="138">
        <f>(M87-K87)/K87</f>
        <v>6.9001029866117405E-2</v>
      </c>
      <c r="O87" s="5">
        <v>1124.9575882434647</v>
      </c>
      <c r="P87" s="138">
        <f>(O87-M87)/M87</f>
        <v>8.3774169791391781E-2</v>
      </c>
      <c r="Q87" s="5">
        <v>1116</v>
      </c>
      <c r="R87" s="138">
        <f>(Q87-O87)/O87</f>
        <v>-7.9626008456472209E-3</v>
      </c>
      <c r="S87" s="260">
        <v>1176</v>
      </c>
      <c r="T87" s="138">
        <f>(S87-Q87)/Q87</f>
        <v>5.3763440860215055E-2</v>
      </c>
      <c r="U87" s="236">
        <v>1275.6779965570609</v>
      </c>
      <c r="V87" s="138">
        <f>(U87-S87)/S87</f>
        <v>8.4760201153963308E-2</v>
      </c>
      <c r="W87" s="236">
        <v>1262</v>
      </c>
      <c r="X87" s="138">
        <f>(W87-U87)/U87</f>
        <v>-1.0722138810872747E-2</v>
      </c>
      <c r="Y87" s="236">
        <v>1225.3362483377844</v>
      </c>
      <c r="Z87" s="138">
        <f>(Y87-W87)/W87</f>
        <v>-2.9052101158649483E-2</v>
      </c>
      <c r="AA87" s="236">
        <v>1239.7300837124876</v>
      </c>
      <c r="AB87" s="138">
        <f>(AA87-Y87)/Y87</f>
        <v>1.1746845320400053E-2</v>
      </c>
      <c r="AC87" s="236">
        <v>1186.9327383431246</v>
      </c>
      <c r="AD87" s="138">
        <f>(AC87-AA87)/AA87</f>
        <v>-4.2587774599497051E-2</v>
      </c>
      <c r="AE87" s="236">
        <v>783</v>
      </c>
      <c r="AF87" s="138">
        <f>(AE87-AC87)/AC87</f>
        <v>-0.34031645205690975</v>
      </c>
      <c r="AG87" s="236">
        <v>825</v>
      </c>
      <c r="AH87" s="138">
        <f>(AG87-AE87)/AE87</f>
        <v>5.3639846743295021E-2</v>
      </c>
      <c r="AI87" s="236">
        <v>860</v>
      </c>
      <c r="AJ87" s="138">
        <f>(AI87-AG87)/AG87</f>
        <v>4.2424242424242427E-2</v>
      </c>
      <c r="AK87" s="236">
        <v>858</v>
      </c>
      <c r="AL87" s="138">
        <f>(AK87-AI87)/AI87</f>
        <v>-2.3255813953488372E-3</v>
      </c>
      <c r="AM87" s="236">
        <v>926.10015998366612</v>
      </c>
      <c r="AN87" s="138">
        <f t="shared" ref="AN87:AN89" si="46">(AM87-AK87)/AK87</f>
        <v>7.9370815831778685E-2</v>
      </c>
      <c r="AO87" s="135" t="str">
        <f t="shared" si="27"/>
        <v xml:space="preserve"> </v>
      </c>
      <c r="AP87" s="271">
        <f t="shared" si="45"/>
        <v>-3.3441425690588486E-2</v>
      </c>
    </row>
    <row r="88" spans="1:42" x14ac:dyDescent="0.2">
      <c r="A88" s="3" t="s">
        <v>148</v>
      </c>
      <c r="B88" s="5"/>
      <c r="C88" s="5">
        <v>565</v>
      </c>
      <c r="D88" s="138"/>
      <c r="E88" s="5">
        <v>550</v>
      </c>
      <c r="F88" s="138">
        <f>(E88-C88)/C88</f>
        <v>-2.6548672566371681E-2</v>
      </c>
      <c r="G88" s="5">
        <v>550</v>
      </c>
      <c r="H88" s="138">
        <f>(G88-E88)/E88</f>
        <v>0</v>
      </c>
      <c r="I88" s="5">
        <v>580</v>
      </c>
      <c r="J88" s="138">
        <f>(I88-G88)/G88</f>
        <v>5.4545454545454543E-2</v>
      </c>
      <c r="K88" s="5">
        <v>368.68532739191232</v>
      </c>
      <c r="L88" s="138">
        <f>(K88-I88)/I88</f>
        <v>-0.36433564242773736</v>
      </c>
      <c r="M88" s="5">
        <v>498</v>
      </c>
      <c r="N88" s="138">
        <f>(M88-K88)/K88</f>
        <v>0.35074537281660312</v>
      </c>
      <c r="O88" s="5">
        <v>438.47442054366593</v>
      </c>
      <c r="P88" s="138">
        <f>(O88-M88)/M88</f>
        <v>-0.11952927601673509</v>
      </c>
      <c r="Q88" s="5">
        <v>439</v>
      </c>
      <c r="R88" s="138">
        <f>(Q88-O88)/O88</f>
        <v>1.1986547714286358E-3</v>
      </c>
      <c r="S88" s="260">
        <v>453</v>
      </c>
      <c r="T88" s="138">
        <f>(S88-Q88)/Q88</f>
        <v>3.1890660592255128E-2</v>
      </c>
      <c r="U88" s="236">
        <v>437.97366249115368</v>
      </c>
      <c r="V88" s="138">
        <f>(U88-S88)/S88</f>
        <v>-3.3170722977585707E-2</v>
      </c>
      <c r="W88" s="236">
        <v>430.38590077350102</v>
      </c>
      <c r="X88" s="138">
        <f>(W88-U88)/U88</f>
        <v>-1.7324698646247739E-2</v>
      </c>
      <c r="Y88" s="236">
        <v>446.84905485008102</v>
      </c>
      <c r="Z88" s="138">
        <f>(Y88-W88)/W88</f>
        <v>3.8252075746421935E-2</v>
      </c>
      <c r="AA88" s="236">
        <v>414.77232834847644</v>
      </c>
      <c r="AB88" s="138">
        <f>(AA88-Y88)/Y88</f>
        <v>-7.1784255003888076E-2</v>
      </c>
      <c r="AC88" s="236">
        <v>441.4566804074218</v>
      </c>
      <c r="AD88" s="138">
        <f>(AC88-AA88)/AA88</f>
        <v>6.4334938073607836E-2</v>
      </c>
      <c r="AE88" s="236">
        <v>274</v>
      </c>
      <c r="AF88" s="138">
        <f>(AE88-AC88)/AC88</f>
        <v>-0.37932754863484108</v>
      </c>
      <c r="AG88" s="236">
        <v>288</v>
      </c>
      <c r="AH88" s="138">
        <f>(AG88-AE88)/AE88</f>
        <v>5.1094890510948905E-2</v>
      </c>
      <c r="AI88" s="236">
        <v>259</v>
      </c>
      <c r="AJ88" s="138">
        <f>(AI88-AG88)/AG88</f>
        <v>-0.10069444444444445</v>
      </c>
      <c r="AK88" s="236">
        <v>293</v>
      </c>
      <c r="AL88" s="138">
        <f>(AK88-AI88)/AI88</f>
        <v>0.13127413127413126</v>
      </c>
      <c r="AM88" s="236">
        <v>271.61820309246241</v>
      </c>
      <c r="AN88" s="138">
        <f t="shared" si="46"/>
        <v>-7.2975416066681204E-2</v>
      </c>
      <c r="AO88" s="135" t="str">
        <f t="shared" si="27"/>
        <v xml:space="preserve"> </v>
      </c>
      <c r="AP88" s="271">
        <f t="shared" si="45"/>
        <v>-7.4125677472177312E-2</v>
      </c>
    </row>
    <row r="89" spans="1:42" x14ac:dyDescent="0.2">
      <c r="A89" s="3" t="s">
        <v>149</v>
      </c>
      <c r="B89" s="5"/>
      <c r="C89" s="5">
        <v>214</v>
      </c>
      <c r="D89" s="138"/>
      <c r="E89" s="5">
        <v>210</v>
      </c>
      <c r="F89" s="138">
        <f>(E89-C89)/C89</f>
        <v>-1.8691588785046728E-2</v>
      </c>
      <c r="G89" s="5">
        <v>240</v>
      </c>
      <c r="H89" s="138">
        <f>(G89-E89)/E89</f>
        <v>0.14285714285714285</v>
      </c>
      <c r="I89" s="5">
        <v>230</v>
      </c>
      <c r="J89" s="138">
        <f>(I89-G89)/G89</f>
        <v>-4.1666666666666664E-2</v>
      </c>
      <c r="K89" s="5">
        <v>147.66162890406761</v>
      </c>
      <c r="L89" s="138">
        <f>(K89-I89)/I89</f>
        <v>-0.3579929178084017</v>
      </c>
      <c r="M89" s="5">
        <v>162</v>
      </c>
      <c r="N89" s="138">
        <f>(M89-K89)/K89</f>
        <v>9.7102891268033481E-2</v>
      </c>
      <c r="O89" s="5">
        <v>128.23886668763359</v>
      </c>
      <c r="P89" s="138">
        <f>(O89-M89)/M89</f>
        <v>-0.20840205748374327</v>
      </c>
      <c r="Q89" s="5">
        <v>124</v>
      </c>
      <c r="R89" s="138">
        <f>(Q89-O89)/O89</f>
        <v>-3.3054461546035745E-2</v>
      </c>
      <c r="S89" s="260">
        <v>127</v>
      </c>
      <c r="T89" s="138">
        <f>(S89-Q89)/Q89</f>
        <v>2.4193548387096774E-2</v>
      </c>
      <c r="U89" s="236">
        <v>125.57962566753046</v>
      </c>
      <c r="V89" s="138">
        <f>(U89-S89)/S89</f>
        <v>-1.1184049861964845E-2</v>
      </c>
      <c r="W89" s="236">
        <v>116.67977620957205</v>
      </c>
      <c r="X89" s="138">
        <f>(W89-U89)/U89</f>
        <v>-7.0870170305496707E-2</v>
      </c>
      <c r="Y89" s="236">
        <v>114.17361981375541</v>
      </c>
      <c r="Z89" s="138">
        <f>(Y89-W89)/W89</f>
        <v>-2.1478927002013298E-2</v>
      </c>
      <c r="AA89" s="236">
        <v>181.87406175222438</v>
      </c>
      <c r="AB89" s="138">
        <f>(AA89-Y89)/Y89</f>
        <v>0.59296045836949596</v>
      </c>
      <c r="AC89" s="236">
        <v>140.61803885651233</v>
      </c>
      <c r="AD89" s="138">
        <f>(AC89-AA89)/AA89</f>
        <v>-0.22683840949193226</v>
      </c>
      <c r="AE89" s="236">
        <v>88</v>
      </c>
      <c r="AF89" s="138">
        <f>(AE89-AC89)/AC89</f>
        <v>-0.3741912437721035</v>
      </c>
      <c r="AG89" s="236">
        <v>117</v>
      </c>
      <c r="AH89" s="138">
        <f>(AG89-AE89)/AE89</f>
        <v>0.32954545454545453</v>
      </c>
      <c r="AI89" s="236">
        <v>128</v>
      </c>
      <c r="AJ89" s="138">
        <f>(AI89-AG89)/AG89</f>
        <v>9.4017094017094016E-2</v>
      </c>
      <c r="AK89" s="236">
        <v>132</v>
      </c>
      <c r="AL89" s="138">
        <f>(AK89-AI89)/AI89</f>
        <v>3.125E-2</v>
      </c>
      <c r="AM89" s="236">
        <v>128.23585030827255</v>
      </c>
      <c r="AN89" s="138">
        <f t="shared" si="46"/>
        <v>-2.8516285543389801E-2</v>
      </c>
      <c r="AO89" s="135" t="str">
        <f t="shared" si="27"/>
        <v xml:space="preserve"> </v>
      </c>
      <c r="AP89" s="271">
        <f t="shared" si="45"/>
        <v>1.0421003849411048E-2</v>
      </c>
    </row>
    <row r="90" spans="1:42" x14ac:dyDescent="0.2">
      <c r="B90" s="5"/>
      <c r="C90" s="5"/>
      <c r="D90" s="138"/>
      <c r="E90" s="5"/>
      <c r="F90" s="138"/>
      <c r="G90" s="5"/>
      <c r="H90" s="138"/>
      <c r="J90" s="138"/>
      <c r="L90" s="138"/>
      <c r="N90" s="138"/>
      <c r="P90" s="138"/>
      <c r="R90" s="138"/>
      <c r="S90" s="260"/>
      <c r="T90" s="138"/>
      <c r="V90" s="138"/>
      <c r="X90" s="138"/>
      <c r="Z90" s="138"/>
      <c r="AB90" s="138"/>
      <c r="AD90" s="138"/>
      <c r="AF90" s="138"/>
      <c r="AH90" s="138"/>
      <c r="AJ90" s="138"/>
      <c r="AL90" s="138"/>
      <c r="AM90" s="236"/>
      <c r="AN90" s="138"/>
      <c r="AP90" s="271"/>
    </row>
    <row r="91" spans="1:42" x14ac:dyDescent="0.2">
      <c r="B91" s="5"/>
      <c r="C91" s="5"/>
      <c r="D91" s="138"/>
      <c r="E91" s="5"/>
      <c r="F91" s="138"/>
      <c r="G91" s="5"/>
      <c r="H91" s="138"/>
      <c r="J91" s="138"/>
      <c r="L91" s="138"/>
      <c r="N91" s="138"/>
      <c r="P91" s="138"/>
      <c r="R91" s="138"/>
      <c r="S91" s="260"/>
      <c r="T91" s="138"/>
      <c r="V91" s="138"/>
      <c r="X91" s="138"/>
      <c r="Z91" s="138"/>
      <c r="AB91" s="138"/>
      <c r="AD91" s="138"/>
      <c r="AF91" s="138"/>
      <c r="AH91" s="138"/>
      <c r="AJ91" s="138"/>
      <c r="AL91" s="138"/>
      <c r="AM91" s="236"/>
      <c r="AN91" s="138"/>
      <c r="AP91" s="271"/>
    </row>
    <row r="92" spans="1:42" x14ac:dyDescent="0.2">
      <c r="B92" s="5"/>
      <c r="C92" s="5"/>
      <c r="D92" s="138"/>
      <c r="E92" s="5"/>
      <c r="F92" s="138"/>
      <c r="G92" s="5"/>
      <c r="H92" s="138"/>
      <c r="J92" s="138"/>
      <c r="L92" s="138"/>
      <c r="N92" s="138"/>
      <c r="P92" s="138"/>
      <c r="R92" s="138"/>
      <c r="S92" s="260"/>
      <c r="T92" s="138"/>
      <c r="V92" s="138"/>
      <c r="X92" s="138"/>
      <c r="Z92" s="138"/>
      <c r="AB92" s="138"/>
      <c r="AD92" s="138"/>
      <c r="AF92" s="138"/>
      <c r="AH92" s="138"/>
      <c r="AJ92" s="138"/>
      <c r="AL92" s="138"/>
      <c r="AM92" s="236"/>
      <c r="AN92" s="138"/>
      <c r="AP92" s="271"/>
    </row>
    <row r="93" spans="1:42" x14ac:dyDescent="0.2">
      <c r="A93" s="3" t="s">
        <v>150</v>
      </c>
      <c r="B93" s="5">
        <v>1580</v>
      </c>
      <c r="C93" s="5">
        <v>1650</v>
      </c>
      <c r="D93" s="138">
        <f>(C93-B93)/B93</f>
        <v>4.4303797468354431E-2</v>
      </c>
      <c r="E93" s="5">
        <v>1660</v>
      </c>
      <c r="F93" s="138">
        <f>(E93-C93)/C93</f>
        <v>6.0606060606060606E-3</v>
      </c>
      <c r="G93" s="5">
        <v>1640</v>
      </c>
      <c r="H93" s="138">
        <f>(G93-E93)/E93</f>
        <v>-1.2048192771084338E-2</v>
      </c>
      <c r="I93" s="5">
        <v>1930</v>
      </c>
      <c r="J93" s="138">
        <f>(I93-G93)/G93</f>
        <v>0.17682926829268292</v>
      </c>
      <c r="K93" s="5">
        <v>1651</v>
      </c>
      <c r="L93" s="138">
        <f>(K93-I93)/I93</f>
        <v>-0.14455958549222797</v>
      </c>
      <c r="M93" s="5">
        <v>1506</v>
      </c>
      <c r="N93" s="138">
        <f>(M93-K93)/K93</f>
        <v>-8.7825560266505148E-2</v>
      </c>
      <c r="O93" s="5">
        <v>1383.9343500000002</v>
      </c>
      <c r="P93" s="138">
        <f>(O93-M93)/M93</f>
        <v>-8.1052888446214985E-2</v>
      </c>
      <c r="Q93" s="5">
        <v>1420</v>
      </c>
      <c r="R93" s="138">
        <f>(Q93-O93)/O93</f>
        <v>2.6060231831083441E-2</v>
      </c>
      <c r="S93" s="260">
        <v>1484</v>
      </c>
      <c r="T93" s="138">
        <f>(S93-Q93)/Q93</f>
        <v>4.507042253521127E-2</v>
      </c>
      <c r="U93" s="236">
        <v>1485.0295000000001</v>
      </c>
      <c r="V93" s="138">
        <f>(U93-S93)/S93</f>
        <v>6.9373315363888024E-4</v>
      </c>
      <c r="W93" s="236">
        <v>1460</v>
      </c>
      <c r="X93" s="138">
        <f>(W93-U93)/U93</f>
        <v>-1.6854547333908246E-2</v>
      </c>
      <c r="Y93" s="236">
        <v>1458</v>
      </c>
      <c r="Z93" s="138">
        <f>(Y93-W93)/W93</f>
        <v>-1.3698630136986301E-3</v>
      </c>
      <c r="AA93" s="236">
        <v>1553.0142500000002</v>
      </c>
      <c r="AB93" s="138">
        <f>(AA93-Y93)/Y93</f>
        <v>6.5167524005487087E-2</v>
      </c>
      <c r="AC93" s="236">
        <v>1561.89725</v>
      </c>
      <c r="AD93" s="138">
        <f>(AC93-AA93)/AA93</f>
        <v>5.7198444895143813E-3</v>
      </c>
      <c r="AE93" s="236">
        <v>1987</v>
      </c>
      <c r="AF93" s="138">
        <f>(AE93-AC93)/AC93</f>
        <v>0.27217075258951895</v>
      </c>
      <c r="AG93" s="236">
        <v>1994</v>
      </c>
      <c r="AH93" s="138">
        <f>(AG93-AE93)/AE93</f>
        <v>3.5228988424760945E-3</v>
      </c>
      <c r="AI93" s="236">
        <v>2011</v>
      </c>
      <c r="AJ93" s="138">
        <f>(AI93-AG93)/AG93</f>
        <v>8.5255767301905712E-3</v>
      </c>
      <c r="AK93" s="236">
        <v>2024</v>
      </c>
      <c r="AL93" s="138">
        <f>(AK93-AI93)/AI93</f>
        <v>6.4644455494778713E-3</v>
      </c>
      <c r="AM93" s="236">
        <v>1903.236395573615</v>
      </c>
      <c r="AN93" s="138">
        <f t="shared" ref="AN93:AN95" si="47">(AM93-AK93)/AK93</f>
        <v>-5.9665812463628939E-2</v>
      </c>
      <c r="AO93" s="135" t="str">
        <f t="shared" ref="AO93:AO127" si="48">IF(MAX(AL93,AN93,AJ93)&lt;0,"YES"," ")</f>
        <v xml:space="preserve"> </v>
      </c>
      <c r="AP93" s="271">
        <f t="shared" si="45"/>
        <v>4.620357224960691E-2</v>
      </c>
    </row>
    <row r="94" spans="1:42" x14ac:dyDescent="0.2">
      <c r="A94" s="3" t="s">
        <v>151</v>
      </c>
      <c r="B94" s="5"/>
      <c r="C94" s="5">
        <v>325</v>
      </c>
      <c r="D94" s="138"/>
      <c r="E94" s="5">
        <v>330</v>
      </c>
      <c r="F94" s="138">
        <f>(E94-C94)/C94</f>
        <v>1.5384615384615385E-2</v>
      </c>
      <c r="G94" s="5">
        <v>350</v>
      </c>
      <c r="H94" s="138">
        <f>(G94-E94)/E94</f>
        <v>6.0606060606060608E-2</v>
      </c>
      <c r="I94" s="5">
        <v>400</v>
      </c>
      <c r="J94" s="138">
        <f>(I94-G94)/G94</f>
        <v>0.14285714285714285</v>
      </c>
      <c r="K94" s="5">
        <v>330.02914760782807</v>
      </c>
      <c r="L94" s="138">
        <f>(K94-I94)/I94</f>
        <v>-0.17492713098042983</v>
      </c>
      <c r="M94" s="5">
        <v>298</v>
      </c>
      <c r="N94" s="138">
        <f>(M94-K94)/K94</f>
        <v>-9.7049451056026526E-2</v>
      </c>
      <c r="O94" s="5">
        <v>279.34964184002257</v>
      </c>
      <c r="P94" s="138">
        <f>(O94-M94)/M94</f>
        <v>-6.2585094496568558E-2</v>
      </c>
      <c r="Q94" s="5">
        <v>300</v>
      </c>
      <c r="R94" s="138">
        <f>(Q94-O94)/O94</f>
        <v>7.3922980620119927E-2</v>
      </c>
      <c r="S94" s="260">
        <v>304</v>
      </c>
      <c r="T94" s="138">
        <f>(S94-Q94)/Q94</f>
        <v>1.3333333333333334E-2</v>
      </c>
      <c r="U94" s="236">
        <v>310.76402834404649</v>
      </c>
      <c r="V94" s="138">
        <f>(U94-S94)/S94</f>
        <v>2.2250093236995047E-2</v>
      </c>
      <c r="W94" s="236">
        <v>292.47342775168613</v>
      </c>
      <c r="X94" s="138">
        <f>(W94-U94)/U94</f>
        <v>-5.885687828744085E-2</v>
      </c>
      <c r="Y94" s="236">
        <v>289</v>
      </c>
      <c r="Z94" s="138">
        <f>(Y94-W94)/W94</f>
        <v>-1.1876045555273889E-2</v>
      </c>
      <c r="AA94" s="236">
        <v>282.76445951267215</v>
      </c>
      <c r="AB94" s="138">
        <f>(AA94-Y94)/Y94</f>
        <v>-2.1576264662034092E-2</v>
      </c>
      <c r="AC94" s="236">
        <v>283.37521176204416</v>
      </c>
      <c r="AD94" s="138">
        <f>(AC94-AA94)/AA94</f>
        <v>2.1599328657661149E-3</v>
      </c>
      <c r="AE94" s="236">
        <v>366</v>
      </c>
      <c r="AF94" s="138">
        <f>(AE94-AC94)/AC94</f>
        <v>0.29157380324196291</v>
      </c>
      <c r="AG94" s="236">
        <v>396</v>
      </c>
      <c r="AH94" s="138">
        <f>(AG94-AE94)/AE94</f>
        <v>8.1967213114754092E-2</v>
      </c>
      <c r="AI94" s="236">
        <v>370</v>
      </c>
      <c r="AJ94" s="138">
        <f>(AI94-AG94)/AG94</f>
        <v>-6.5656565656565663E-2</v>
      </c>
      <c r="AK94" s="236">
        <v>371</v>
      </c>
      <c r="AL94" s="138">
        <f>(AK94-AI94)/AI94</f>
        <v>2.7027027027027029E-3</v>
      </c>
      <c r="AM94" s="236">
        <v>374.23421719705397</v>
      </c>
      <c r="AN94" s="138">
        <f t="shared" si="47"/>
        <v>8.7175665688786121E-3</v>
      </c>
      <c r="AO94" s="135" t="str">
        <f t="shared" si="48"/>
        <v xml:space="preserve"> </v>
      </c>
      <c r="AP94" s="271">
        <f t="shared" si="45"/>
        <v>6.3860943994346525E-2</v>
      </c>
    </row>
    <row r="95" spans="1:42" x14ac:dyDescent="0.2">
      <c r="A95" s="3" t="s">
        <v>12</v>
      </c>
      <c r="B95" s="5"/>
      <c r="C95" s="5">
        <v>510</v>
      </c>
      <c r="D95" s="138"/>
      <c r="E95" s="5">
        <v>510</v>
      </c>
      <c r="F95" s="138">
        <f>(E95-C95)/C95</f>
        <v>0</v>
      </c>
      <c r="G95" s="5">
        <v>540</v>
      </c>
      <c r="H95" s="138">
        <f>(G95-E95)/E95</f>
        <v>5.8823529411764705E-2</v>
      </c>
      <c r="I95" s="5">
        <v>630</v>
      </c>
      <c r="J95" s="138">
        <f>(I95-G95)/G95</f>
        <v>0.16666666666666666</v>
      </c>
      <c r="K95" s="5">
        <v>498.76073661668693</v>
      </c>
      <c r="L95" s="138">
        <f>(K95-I95)/I95</f>
        <v>-0.20831629108462393</v>
      </c>
      <c r="M95" s="5">
        <v>470</v>
      </c>
      <c r="N95" s="138">
        <f>(M95-K95)/K95</f>
        <v>-5.7664395982297306E-2</v>
      </c>
      <c r="O95" s="5">
        <v>433.52622012331364</v>
      </c>
      <c r="P95" s="138">
        <f>(O95-M95)/M95</f>
        <v>-7.7603786971673111E-2</v>
      </c>
      <c r="Q95" s="5">
        <v>446</v>
      </c>
      <c r="R95" s="138">
        <f>(Q95-O95)/O95</f>
        <v>2.877283840672493E-2</v>
      </c>
      <c r="S95" s="260">
        <v>454</v>
      </c>
      <c r="T95" s="138">
        <f>(S95-Q95)/Q95</f>
        <v>1.7937219730941704E-2</v>
      </c>
      <c r="U95" s="236">
        <v>440.38752679771289</v>
      </c>
      <c r="V95" s="138">
        <f>(U95-S95)/S95</f>
        <v>-2.9983421150412127E-2</v>
      </c>
      <c r="W95" s="236">
        <v>432.99138745361341</v>
      </c>
      <c r="X95" s="138">
        <f>(W95-U95)/U95</f>
        <v>-1.6794615864533364E-2</v>
      </c>
      <c r="Y95" s="236">
        <v>431.24571233676306</v>
      </c>
      <c r="Z95" s="138">
        <f>(Y95-W95)/W95</f>
        <v>-4.0316624474138422E-3</v>
      </c>
      <c r="AA95" s="236">
        <v>472.84501285174616</v>
      </c>
      <c r="AB95" s="138">
        <f>(AA95-Y95)/Y95</f>
        <v>9.6463105197201096E-2</v>
      </c>
      <c r="AC95" s="236">
        <v>482.84603121465625</v>
      </c>
      <c r="AD95" s="138">
        <f>(AC95-AA95)/AA95</f>
        <v>2.1150732462194257E-2</v>
      </c>
      <c r="AE95" s="236">
        <v>616</v>
      </c>
      <c r="AF95" s="138">
        <f>(AE95-AC95)/AC95</f>
        <v>0.27576900332053927</v>
      </c>
      <c r="AG95" s="236">
        <v>611</v>
      </c>
      <c r="AH95" s="138">
        <f>(AG95-AE95)/AE95</f>
        <v>-8.1168831168831161E-3</v>
      </c>
      <c r="AI95" s="236">
        <v>717</v>
      </c>
      <c r="AJ95" s="138">
        <f>(AI95-AG95)/AG95</f>
        <v>0.17348608837970539</v>
      </c>
      <c r="AK95" s="236">
        <v>720</v>
      </c>
      <c r="AL95" s="138">
        <f>(AK95-AI95)/AI95</f>
        <v>4.1841004184100415E-3</v>
      </c>
      <c r="AM95" s="236">
        <v>691.29820624994875</v>
      </c>
      <c r="AN95" s="138">
        <f t="shared" si="47"/>
        <v>-3.9863602430626741E-2</v>
      </c>
      <c r="AO95" s="135" t="str">
        <f t="shared" si="48"/>
        <v xml:space="preserve"> </v>
      </c>
      <c r="AP95" s="271">
        <f t="shared" si="45"/>
        <v>8.1091741314228971E-2</v>
      </c>
    </row>
    <row r="96" spans="1:42" x14ac:dyDescent="0.2">
      <c r="A96" s="3" t="s">
        <v>152</v>
      </c>
      <c r="B96" s="5"/>
      <c r="C96" s="5"/>
      <c r="D96" s="138"/>
      <c r="E96" s="5"/>
      <c r="F96" s="138"/>
      <c r="G96" s="5"/>
      <c r="H96" s="138"/>
      <c r="J96" s="138"/>
      <c r="L96" s="138"/>
      <c r="N96" s="138"/>
      <c r="P96" s="138"/>
      <c r="R96" s="138"/>
      <c r="S96" s="260"/>
      <c r="T96" s="138"/>
      <c r="V96" s="138"/>
      <c r="X96" s="138"/>
      <c r="Z96" s="138"/>
      <c r="AB96" s="138"/>
      <c r="AD96" s="138"/>
      <c r="AF96" s="138"/>
      <c r="AH96" s="138"/>
      <c r="AJ96" s="138"/>
      <c r="AL96" s="138"/>
      <c r="AM96" s="236"/>
      <c r="AN96" s="138"/>
      <c r="AP96" s="271"/>
    </row>
    <row r="97" spans="1:44" x14ac:dyDescent="0.2">
      <c r="A97" s="3" t="s">
        <v>153</v>
      </c>
      <c r="B97" s="5"/>
      <c r="C97" s="5"/>
      <c r="D97" s="138"/>
      <c r="E97" s="5"/>
      <c r="F97" s="138"/>
      <c r="G97" s="5"/>
      <c r="H97" s="138"/>
      <c r="J97" s="138"/>
      <c r="L97" s="138"/>
      <c r="N97" s="138"/>
      <c r="P97" s="138"/>
      <c r="R97" s="138"/>
      <c r="S97" s="260"/>
      <c r="T97" s="138"/>
      <c r="V97" s="138"/>
      <c r="X97" s="138"/>
      <c r="Z97" s="138"/>
      <c r="AB97" s="138"/>
      <c r="AD97" s="138"/>
      <c r="AF97" s="138"/>
      <c r="AH97" s="138"/>
      <c r="AJ97" s="138"/>
      <c r="AL97" s="138"/>
      <c r="AM97" s="236"/>
      <c r="AN97" s="138"/>
      <c r="AP97" s="271"/>
    </row>
    <row r="98" spans="1:44" x14ac:dyDescent="0.2">
      <c r="A98" s="3" t="s">
        <v>154</v>
      </c>
      <c r="B98" s="5"/>
      <c r="C98" s="5"/>
      <c r="D98" s="138"/>
      <c r="E98" s="5"/>
      <c r="F98" s="138"/>
      <c r="G98" s="5"/>
      <c r="H98" s="138"/>
      <c r="J98" s="138"/>
      <c r="L98" s="138"/>
      <c r="N98" s="138"/>
      <c r="P98" s="138"/>
      <c r="R98" s="138"/>
      <c r="S98" s="260"/>
      <c r="T98" s="138"/>
      <c r="V98" s="138"/>
      <c r="X98" s="138"/>
      <c r="Z98" s="138"/>
      <c r="AB98" s="138"/>
      <c r="AD98" s="138"/>
      <c r="AF98" s="138"/>
      <c r="AH98" s="138"/>
      <c r="AJ98" s="138"/>
      <c r="AL98" s="138"/>
      <c r="AM98" s="236"/>
      <c r="AN98" s="138"/>
      <c r="AP98" s="271"/>
    </row>
    <row r="99" spans="1:44" x14ac:dyDescent="0.2">
      <c r="B99" s="5"/>
      <c r="C99" s="5"/>
      <c r="D99" s="138"/>
      <c r="E99" s="5"/>
      <c r="F99" s="138"/>
      <c r="G99" s="5"/>
      <c r="H99" s="138"/>
      <c r="J99" s="138"/>
      <c r="L99" s="138"/>
      <c r="N99" s="138"/>
      <c r="P99" s="138"/>
      <c r="R99" s="138"/>
      <c r="S99" s="260"/>
      <c r="T99" s="138"/>
      <c r="V99" s="138"/>
      <c r="X99" s="138"/>
      <c r="Z99" s="138"/>
      <c r="AB99" s="138"/>
      <c r="AD99" s="138"/>
      <c r="AF99" s="138"/>
      <c r="AH99" s="138"/>
      <c r="AJ99" s="138"/>
      <c r="AL99" s="138"/>
      <c r="AM99" s="236"/>
      <c r="AN99" s="138"/>
      <c r="AP99" s="271"/>
      <c r="AQ99" s="8"/>
    </row>
    <row r="100" spans="1:44" x14ac:dyDescent="0.2">
      <c r="B100" s="5"/>
      <c r="C100" s="5"/>
      <c r="D100" s="138"/>
      <c r="E100" s="5"/>
      <c r="F100" s="138"/>
      <c r="G100" s="5"/>
      <c r="H100" s="138"/>
      <c r="J100" s="138"/>
      <c r="L100" s="138"/>
      <c r="N100" s="138"/>
      <c r="P100" s="138"/>
      <c r="R100" s="138"/>
      <c r="S100" s="260"/>
      <c r="T100" s="138"/>
      <c r="V100" s="138"/>
      <c r="X100" s="138"/>
      <c r="Z100" s="138"/>
      <c r="AB100" s="138"/>
      <c r="AD100" s="138"/>
      <c r="AF100" s="138"/>
      <c r="AH100" s="138"/>
      <c r="AJ100" s="138"/>
      <c r="AL100" s="138"/>
      <c r="AM100" s="236"/>
      <c r="AN100" s="138"/>
      <c r="AP100" s="271"/>
      <c r="AQ100" s="8"/>
    </row>
    <row r="101" spans="1:44" x14ac:dyDescent="0.2">
      <c r="B101" s="5"/>
      <c r="C101" s="5"/>
      <c r="D101" s="138"/>
      <c r="E101" s="5"/>
      <c r="F101" s="138"/>
      <c r="G101" s="5"/>
      <c r="H101" s="138"/>
      <c r="J101" s="138"/>
      <c r="L101" s="138"/>
      <c r="N101" s="138"/>
      <c r="P101" s="138"/>
      <c r="R101" s="138"/>
      <c r="S101" s="260"/>
      <c r="T101" s="138"/>
      <c r="V101" s="138"/>
      <c r="X101" s="138"/>
      <c r="Z101" s="138"/>
      <c r="AB101" s="138"/>
      <c r="AD101" s="138"/>
      <c r="AF101" s="138"/>
      <c r="AH101" s="138"/>
      <c r="AJ101" s="138"/>
      <c r="AL101" s="138"/>
      <c r="AM101" s="236"/>
      <c r="AN101" s="138"/>
      <c r="AP101" s="271"/>
      <c r="AQ101" s="144"/>
      <c r="AR101" s="7"/>
    </row>
    <row r="102" spans="1:44" x14ac:dyDescent="0.2">
      <c r="A102" s="3" t="s">
        <v>155</v>
      </c>
      <c r="B102" s="5">
        <v>16270</v>
      </c>
      <c r="C102" s="5">
        <v>16460</v>
      </c>
      <c r="D102" s="138">
        <f>(C102-B102)/B102</f>
        <v>1.1677934849416103E-2</v>
      </c>
      <c r="E102" s="5">
        <v>17520</v>
      </c>
      <c r="F102" s="138">
        <f>(E102-C102)/C102</f>
        <v>6.4398541919805583E-2</v>
      </c>
      <c r="G102" s="5">
        <v>17970</v>
      </c>
      <c r="H102" s="138">
        <f>(G102-E102)/E102</f>
        <v>2.5684931506849314E-2</v>
      </c>
      <c r="I102" s="5">
        <v>18090</v>
      </c>
      <c r="J102" s="138">
        <f>(I102-G102)/G102</f>
        <v>6.6777963272120202E-3</v>
      </c>
      <c r="K102" s="5">
        <v>16106</v>
      </c>
      <c r="L102" s="138">
        <f>(K102-I102)/I102</f>
        <v>-0.10967385295743505</v>
      </c>
      <c r="M102" s="5">
        <v>16164</v>
      </c>
      <c r="N102" s="138">
        <f>(M102-K102)/K102</f>
        <v>3.6011424313920279E-3</v>
      </c>
      <c r="O102" s="5">
        <v>16308.406747161887</v>
      </c>
      <c r="P102" s="138">
        <f>(O102-M102)/M102</f>
        <v>8.9338497378054511E-3</v>
      </c>
      <c r="Q102" s="5">
        <v>16457</v>
      </c>
      <c r="R102" s="138">
        <f>(Q102-O102)/O102</f>
        <v>9.1114512375019101E-3</v>
      </c>
      <c r="S102" s="260">
        <v>16692</v>
      </c>
      <c r="T102" s="138">
        <f>(S102-Q102)/Q102</f>
        <v>1.4279637844078508E-2</v>
      </c>
      <c r="U102" s="236">
        <v>17293.317716062789</v>
      </c>
      <c r="V102" s="138">
        <f>(U102-S102)/S102</f>
        <v>3.6024306018619057E-2</v>
      </c>
      <c r="W102" s="236">
        <v>17751</v>
      </c>
      <c r="X102" s="138">
        <f>(W102-U102)/U102</f>
        <v>2.6465846025143888E-2</v>
      </c>
      <c r="Y102" s="236">
        <v>18052</v>
      </c>
      <c r="Z102" s="138">
        <f>(Y102-W102)/W102</f>
        <v>1.6956791166694834E-2</v>
      </c>
      <c r="AA102" s="236">
        <v>18013.59751539128</v>
      </c>
      <c r="AB102" s="138">
        <f>(AA102-Y102)/Y102</f>
        <v>-2.1273257594017023E-3</v>
      </c>
      <c r="AC102" s="236">
        <v>17690.487633335564</v>
      </c>
      <c r="AD102" s="138">
        <f>(AC102-AA102)/AA102</f>
        <v>-1.7936999079703149E-2</v>
      </c>
      <c r="AE102" s="236">
        <v>16528</v>
      </c>
      <c r="AF102" s="138">
        <f>(AE102-AC102)/AC102</f>
        <v>-6.5712582797604641E-2</v>
      </c>
      <c r="AG102" s="236">
        <v>17135</v>
      </c>
      <c r="AH102" s="138">
        <f>(AG102-AE102)/AE102</f>
        <v>3.6725556631171344E-2</v>
      </c>
      <c r="AI102" s="236">
        <v>17384</v>
      </c>
      <c r="AJ102" s="138">
        <f>(AI102-AG102)/AG102</f>
        <v>1.4531660344324482E-2</v>
      </c>
      <c r="AK102" s="236">
        <v>17457</v>
      </c>
      <c r="AL102" s="138">
        <f>(AK102-AI102)/AI102</f>
        <v>4.199263690750115E-3</v>
      </c>
      <c r="AM102" s="236">
        <v>17387.982164587142</v>
      </c>
      <c r="AN102" s="138">
        <f t="shared" ref="AN102:AN103" si="49">(AM102-AK102)/AK102</f>
        <v>-3.9535908468155126E-3</v>
      </c>
      <c r="AO102" s="135" t="str">
        <f t="shared" si="48"/>
        <v xml:space="preserve"> </v>
      </c>
      <c r="AP102" s="271">
        <f t="shared" si="45"/>
        <v>-2.8419385956348422E-3</v>
      </c>
      <c r="AQ102" s="11"/>
      <c r="AR102" s="10"/>
    </row>
    <row r="103" spans="1:44" x14ac:dyDescent="0.2">
      <c r="A103" s="3" t="s">
        <v>156</v>
      </c>
      <c r="B103" s="5">
        <v>7190</v>
      </c>
      <c r="C103" s="5">
        <v>7890</v>
      </c>
      <c r="D103" s="138">
        <f>(C103-B103)/B103</f>
        <v>9.7357440890125171E-2</v>
      </c>
      <c r="E103" s="5">
        <v>7990</v>
      </c>
      <c r="F103" s="138">
        <f>(E103-C103)/C103</f>
        <v>1.2674271229404309E-2</v>
      </c>
      <c r="G103" s="5">
        <v>8800</v>
      </c>
      <c r="H103" s="138">
        <f>(G103-E103)/E103</f>
        <v>0.10137672090112641</v>
      </c>
      <c r="I103" s="5">
        <v>8860</v>
      </c>
      <c r="J103" s="138">
        <f>(I103-G103)/G103</f>
        <v>6.8181818181818179E-3</v>
      </c>
      <c r="K103" s="5">
        <v>7174</v>
      </c>
      <c r="L103" s="138">
        <f>(K103-I103)/I103</f>
        <v>-0.19029345372460496</v>
      </c>
      <c r="M103" s="5">
        <v>7001</v>
      </c>
      <c r="N103" s="138">
        <f>(M103-K103)/K103</f>
        <v>-2.4114859213827711E-2</v>
      </c>
      <c r="O103" s="5">
        <v>7234.3862508140537</v>
      </c>
      <c r="P103" s="138">
        <f>(O103-M103)/M103</f>
        <v>3.3336130669054949E-2</v>
      </c>
      <c r="Q103" s="5">
        <v>7280</v>
      </c>
      <c r="R103" s="138">
        <f>(Q103-O103)/O103</f>
        <v>6.3051304705791147E-3</v>
      </c>
      <c r="S103" s="260">
        <v>7249</v>
      </c>
      <c r="T103" s="138">
        <f>(S103-Q103)/Q103</f>
        <v>-4.2582417582417579E-3</v>
      </c>
      <c r="U103" s="236">
        <v>7400.9359491693713</v>
      </c>
      <c r="V103" s="138">
        <f>(U103-S103)/S103</f>
        <v>2.0959573619722897E-2</v>
      </c>
      <c r="W103" s="236">
        <v>7643.1892334924551</v>
      </c>
      <c r="X103" s="138">
        <f>(W103-U103)/U103</f>
        <v>3.2732790283136096E-2</v>
      </c>
      <c r="Y103" s="236">
        <v>7646</v>
      </c>
      <c r="Z103" s="138">
        <f>(Y103-W103)/W103</f>
        <v>3.6774786305540647E-4</v>
      </c>
      <c r="AA103" s="236">
        <v>7659.2080196865827</v>
      </c>
      <c r="AB103" s="138">
        <f>(AA103-Y103)/Y103</f>
        <v>1.7274417586427809E-3</v>
      </c>
      <c r="AC103" s="236">
        <v>7593.3866412129591</v>
      </c>
      <c r="AD103" s="138">
        <f>(AC103-AA103)/AA103</f>
        <v>-8.5937577755352546E-3</v>
      </c>
      <c r="AE103" s="236">
        <v>7396</v>
      </c>
      <c r="AF103" s="138">
        <f>(AE103-AC103)/AC103</f>
        <v>-2.5994546378245376E-2</v>
      </c>
      <c r="AG103" s="236">
        <v>7839</v>
      </c>
      <c r="AH103" s="138">
        <f>(AG103-AE103)/AE103</f>
        <v>5.989724175229854E-2</v>
      </c>
      <c r="AI103" s="236">
        <v>7997</v>
      </c>
      <c r="AJ103" s="138">
        <f>(AI103-AG103)/AG103</f>
        <v>2.0155632095930603E-2</v>
      </c>
      <c r="AK103" s="236">
        <v>8185</v>
      </c>
      <c r="AL103" s="138">
        <f>(AK103-AI103)/AI103</f>
        <v>2.3508815805927223E-2</v>
      </c>
      <c r="AM103" s="236">
        <v>8041.7551571662943</v>
      </c>
      <c r="AN103" s="138">
        <f t="shared" si="49"/>
        <v>-1.7500897108577357E-2</v>
      </c>
      <c r="AO103" s="135" t="str">
        <f t="shared" si="48"/>
        <v xml:space="preserve"> </v>
      </c>
      <c r="AP103" s="271">
        <f t="shared" si="45"/>
        <v>1.2013249233466727E-2</v>
      </c>
      <c r="AR103" s="138"/>
    </row>
    <row r="104" spans="1:44" x14ac:dyDescent="0.2">
      <c r="A104" s="3" t="s">
        <v>157</v>
      </c>
      <c r="B104" s="5"/>
      <c r="C104" s="5"/>
      <c r="D104" s="138"/>
      <c r="E104" s="5"/>
      <c r="F104" s="138"/>
      <c r="G104" s="5"/>
      <c r="H104" s="138"/>
      <c r="J104" s="138"/>
      <c r="L104" s="138"/>
      <c r="N104" s="138"/>
      <c r="P104" s="138"/>
      <c r="R104" s="138"/>
      <c r="S104" s="260"/>
      <c r="T104" s="138"/>
      <c r="V104" s="138"/>
      <c r="X104" s="138"/>
      <c r="Z104" s="138"/>
      <c r="AB104" s="138"/>
      <c r="AD104" s="138"/>
      <c r="AF104" s="138"/>
      <c r="AH104" s="138"/>
      <c r="AJ104" s="138"/>
      <c r="AL104" s="138"/>
      <c r="AM104" s="236"/>
      <c r="AN104" s="138"/>
      <c r="AP104" s="271"/>
      <c r="AQ104" s="7"/>
    </row>
    <row r="105" spans="1:44" x14ac:dyDescent="0.2">
      <c r="A105" s="3" t="s">
        <v>158</v>
      </c>
      <c r="B105" s="5"/>
      <c r="C105" s="5"/>
      <c r="D105" s="138"/>
      <c r="E105" s="5"/>
      <c r="F105" s="138"/>
      <c r="G105" s="5"/>
      <c r="H105" s="138"/>
      <c r="J105" s="138"/>
      <c r="L105" s="138"/>
      <c r="N105" s="138"/>
      <c r="P105" s="138"/>
      <c r="R105" s="138"/>
      <c r="S105" s="260"/>
      <c r="T105" s="138"/>
      <c r="V105" s="138"/>
      <c r="X105" s="138"/>
      <c r="Z105" s="138"/>
      <c r="AB105" s="138"/>
      <c r="AD105" s="138"/>
      <c r="AF105" s="138"/>
      <c r="AH105" s="138"/>
      <c r="AJ105" s="138"/>
      <c r="AL105" s="138"/>
      <c r="AM105" s="236"/>
      <c r="AN105" s="138"/>
      <c r="AP105" s="271"/>
      <c r="AQ105" s="10"/>
    </row>
    <row r="106" spans="1:44" x14ac:dyDescent="0.2">
      <c r="A106" s="3" t="s">
        <v>159</v>
      </c>
      <c r="B106" s="5"/>
      <c r="C106" s="5"/>
      <c r="D106" s="138"/>
      <c r="E106" s="5"/>
      <c r="F106" s="138"/>
      <c r="G106" s="5"/>
      <c r="H106" s="138"/>
      <c r="J106" s="138"/>
      <c r="L106" s="138"/>
      <c r="N106" s="138"/>
      <c r="P106" s="138"/>
      <c r="R106" s="138"/>
      <c r="S106" s="260"/>
      <c r="T106" s="138"/>
      <c r="V106" s="138"/>
      <c r="X106" s="138"/>
      <c r="Z106" s="138"/>
      <c r="AB106" s="138"/>
      <c r="AD106" s="138"/>
      <c r="AF106" s="138"/>
      <c r="AH106" s="138"/>
      <c r="AJ106" s="138"/>
      <c r="AL106" s="138"/>
      <c r="AM106" s="236"/>
      <c r="AN106" s="138"/>
      <c r="AP106" s="271"/>
      <c r="AQ106" s="145"/>
    </row>
    <row r="107" spans="1:44" x14ac:dyDescent="0.2">
      <c r="A107" s="3" t="s">
        <v>160</v>
      </c>
      <c r="B107" s="5"/>
      <c r="C107" s="5"/>
      <c r="D107" s="138"/>
      <c r="E107" s="5"/>
      <c r="F107" s="138"/>
      <c r="G107" s="5"/>
      <c r="H107" s="138"/>
      <c r="J107" s="138"/>
      <c r="L107" s="138"/>
      <c r="N107" s="138"/>
      <c r="P107" s="138"/>
      <c r="R107" s="138"/>
      <c r="S107" s="260"/>
      <c r="T107" s="138"/>
      <c r="V107" s="138"/>
      <c r="X107" s="138"/>
      <c r="Z107" s="138"/>
      <c r="AB107" s="138"/>
      <c r="AD107" s="138"/>
      <c r="AF107" s="138"/>
      <c r="AH107" s="138"/>
      <c r="AJ107" s="138"/>
      <c r="AL107" s="138"/>
      <c r="AM107" s="236"/>
      <c r="AN107" s="138"/>
      <c r="AP107" s="271"/>
    </row>
    <row r="108" spans="1:44" x14ac:dyDescent="0.2">
      <c r="A108" s="6" t="s">
        <v>161</v>
      </c>
      <c r="B108" s="5"/>
      <c r="C108" s="5"/>
      <c r="D108" s="138"/>
      <c r="E108" s="5"/>
      <c r="F108" s="138"/>
      <c r="G108" s="5"/>
      <c r="H108" s="138"/>
      <c r="J108" s="138"/>
      <c r="L108" s="138"/>
      <c r="N108" s="138"/>
      <c r="P108" s="138"/>
      <c r="R108" s="138"/>
      <c r="S108" s="260"/>
      <c r="T108" s="138"/>
      <c r="V108" s="138"/>
      <c r="X108" s="138"/>
      <c r="Z108" s="138"/>
      <c r="AB108" s="138"/>
      <c r="AD108" s="138"/>
      <c r="AF108" s="138"/>
      <c r="AH108" s="138"/>
      <c r="AJ108" s="138"/>
      <c r="AL108" s="138"/>
      <c r="AM108" s="236"/>
      <c r="AN108" s="138"/>
      <c r="AP108" s="271"/>
    </row>
    <row r="109" spans="1:44" x14ac:dyDescent="0.2">
      <c r="A109" s="3" t="s">
        <v>162</v>
      </c>
      <c r="B109" s="5"/>
      <c r="C109" s="5"/>
      <c r="D109" s="138"/>
      <c r="E109" s="5"/>
      <c r="F109" s="138"/>
      <c r="G109" s="5"/>
      <c r="H109" s="138"/>
      <c r="J109" s="138"/>
      <c r="L109" s="138"/>
      <c r="N109" s="138"/>
      <c r="P109" s="138"/>
      <c r="R109" s="138"/>
      <c r="S109" s="260"/>
      <c r="T109" s="138"/>
      <c r="V109" s="138"/>
      <c r="X109" s="138"/>
      <c r="Z109" s="138"/>
      <c r="AB109" s="138"/>
      <c r="AD109" s="138"/>
      <c r="AF109" s="138"/>
      <c r="AH109" s="138"/>
      <c r="AJ109" s="138"/>
      <c r="AL109" s="138"/>
      <c r="AM109" s="236"/>
      <c r="AN109" s="138"/>
      <c r="AP109" s="271"/>
    </row>
    <row r="110" spans="1:44" x14ac:dyDescent="0.2">
      <c r="A110" s="3" t="s">
        <v>163</v>
      </c>
      <c r="B110" s="5"/>
      <c r="C110" s="5"/>
      <c r="D110" s="138"/>
      <c r="E110" s="5"/>
      <c r="F110" s="138"/>
      <c r="G110" s="5"/>
      <c r="H110" s="138"/>
      <c r="J110" s="138"/>
      <c r="L110" s="138"/>
      <c r="N110" s="138"/>
      <c r="P110" s="138"/>
      <c r="R110" s="138"/>
      <c r="S110" s="260"/>
      <c r="T110" s="138"/>
      <c r="V110" s="138"/>
      <c r="X110" s="138"/>
      <c r="Z110" s="138"/>
      <c r="AB110" s="138"/>
      <c r="AD110" s="138"/>
      <c r="AF110" s="138"/>
      <c r="AH110" s="138"/>
      <c r="AJ110" s="138"/>
      <c r="AL110" s="138"/>
      <c r="AM110" s="236"/>
      <c r="AN110" s="138"/>
      <c r="AP110" s="271"/>
    </row>
    <row r="111" spans="1:44" x14ac:dyDescent="0.2">
      <c r="A111" s="3" t="s">
        <v>164</v>
      </c>
      <c r="B111" s="5"/>
      <c r="C111" s="5"/>
      <c r="D111" s="138"/>
      <c r="E111" s="5"/>
      <c r="F111" s="138"/>
      <c r="G111" s="5"/>
      <c r="H111" s="138"/>
      <c r="J111" s="138"/>
      <c r="L111" s="138"/>
      <c r="N111" s="138"/>
      <c r="P111" s="138"/>
      <c r="R111" s="138"/>
      <c r="S111" s="260"/>
      <c r="T111" s="138"/>
      <c r="V111" s="138"/>
      <c r="X111" s="138"/>
      <c r="Z111" s="138"/>
      <c r="AB111" s="138"/>
      <c r="AD111" s="138"/>
      <c r="AF111" s="138"/>
      <c r="AH111" s="138"/>
      <c r="AJ111" s="138"/>
      <c r="AL111" s="138"/>
      <c r="AM111" s="236"/>
      <c r="AN111" s="138"/>
      <c r="AP111" s="271"/>
    </row>
    <row r="112" spans="1:44" x14ac:dyDescent="0.2">
      <c r="A112" s="3" t="s">
        <v>165</v>
      </c>
      <c r="B112" s="5"/>
      <c r="C112" s="5"/>
      <c r="D112" s="138"/>
      <c r="E112" s="5"/>
      <c r="F112" s="138"/>
      <c r="G112" s="5"/>
      <c r="H112" s="138"/>
      <c r="J112" s="138"/>
      <c r="L112" s="138"/>
      <c r="N112" s="138"/>
      <c r="P112" s="138"/>
      <c r="R112" s="138"/>
      <c r="S112" s="260"/>
      <c r="T112" s="138"/>
      <c r="V112" s="138"/>
      <c r="X112" s="138"/>
      <c r="Z112" s="138"/>
      <c r="AB112" s="138"/>
      <c r="AD112" s="138"/>
      <c r="AF112" s="138"/>
      <c r="AH112" s="138"/>
      <c r="AJ112" s="138"/>
      <c r="AL112" s="138"/>
      <c r="AM112" s="236"/>
      <c r="AN112" s="138"/>
      <c r="AP112" s="271"/>
    </row>
    <row r="113" spans="1:42" x14ac:dyDescent="0.2">
      <c r="B113" s="5"/>
      <c r="C113" s="5"/>
      <c r="D113" s="138"/>
      <c r="E113" s="5"/>
      <c r="F113" s="138"/>
      <c r="G113" s="5"/>
      <c r="H113" s="138"/>
      <c r="J113" s="138"/>
      <c r="L113" s="138"/>
      <c r="N113" s="138"/>
      <c r="P113" s="138"/>
      <c r="R113" s="138"/>
      <c r="S113" s="260"/>
      <c r="T113" s="138"/>
      <c r="V113" s="138"/>
      <c r="X113" s="138"/>
      <c r="Z113" s="138"/>
      <c r="AB113" s="138"/>
      <c r="AD113" s="138"/>
      <c r="AF113" s="138"/>
      <c r="AH113" s="138"/>
      <c r="AJ113" s="138"/>
      <c r="AL113" s="138"/>
      <c r="AM113" s="236"/>
      <c r="AN113" s="138"/>
      <c r="AP113" s="271"/>
    </row>
    <row r="114" spans="1:42" x14ac:dyDescent="0.2">
      <c r="A114" s="3" t="s">
        <v>166</v>
      </c>
      <c r="B114" s="5">
        <v>6440</v>
      </c>
      <c r="C114" s="5">
        <v>6710</v>
      </c>
      <c r="D114" s="138">
        <f>(C114-B114)/B114</f>
        <v>4.192546583850932E-2</v>
      </c>
      <c r="E114" s="5">
        <v>7030</v>
      </c>
      <c r="F114" s="138">
        <f>(E114-C114)/C114</f>
        <v>4.7690014903129657E-2</v>
      </c>
      <c r="G114" s="5">
        <v>7040</v>
      </c>
      <c r="H114" s="138">
        <f>(G114-E114)/E114</f>
        <v>1.4224751066856331E-3</v>
      </c>
      <c r="I114" s="5">
        <v>7010</v>
      </c>
      <c r="J114" s="138">
        <f>(I114-G114)/G114</f>
        <v>-4.261363636363636E-3</v>
      </c>
      <c r="K114" s="5">
        <v>5794</v>
      </c>
      <c r="L114" s="138">
        <f>(K114-I114)/I114</f>
        <v>-0.17346647646219687</v>
      </c>
      <c r="M114" s="5">
        <v>5761</v>
      </c>
      <c r="N114" s="138">
        <f>(M114-K114)/K114</f>
        <v>-5.695547117707974E-3</v>
      </c>
      <c r="O114" s="5">
        <v>5546.7161043512915</v>
      </c>
      <c r="P114" s="138">
        <f>(O114-M114)/M114</f>
        <v>-3.7195607646017793E-2</v>
      </c>
      <c r="Q114" s="5">
        <v>5277</v>
      </c>
      <c r="R114" s="138">
        <f>(Q114-O114)/O114</f>
        <v>-4.8626268097569376E-2</v>
      </c>
      <c r="S114" s="260">
        <v>5357</v>
      </c>
      <c r="T114" s="138">
        <f>(S114-Q114)/Q114</f>
        <v>1.5160128861095318E-2</v>
      </c>
      <c r="U114" s="236">
        <v>5508.709985003331</v>
      </c>
      <c r="V114" s="138">
        <f>(U114-S114)/S114</f>
        <v>2.8319952399352432E-2</v>
      </c>
      <c r="W114" s="236">
        <v>5655</v>
      </c>
      <c r="X114" s="138">
        <f>(W114-U114)/U114</f>
        <v>2.6556129365118603E-2</v>
      </c>
      <c r="Y114" s="236">
        <v>5747.2372370053854</v>
      </c>
      <c r="Z114" s="138">
        <f>(Y114-W114)/W114</f>
        <v>1.6310740407672043E-2</v>
      </c>
      <c r="AA114" s="236">
        <v>5891.1414739183838</v>
      </c>
      <c r="AB114" s="138">
        <f>(AA114-Y114)/Y114</f>
        <v>2.5038854492803242E-2</v>
      </c>
      <c r="AC114" s="236">
        <v>6002.719028919737</v>
      </c>
      <c r="AD114" s="138">
        <f>(AC114-AA114)/AA114</f>
        <v>1.8939887201034986E-2</v>
      </c>
      <c r="AE114" s="236">
        <v>5775</v>
      </c>
      <c r="AF114" s="138">
        <f>(AE114-AC114)/AC114</f>
        <v>-3.7935979982177806E-2</v>
      </c>
      <c r="AG114" s="236">
        <v>5988</v>
      </c>
      <c r="AH114" s="138">
        <f>(AG114-AE114)/AE114</f>
        <v>3.6883116883116886E-2</v>
      </c>
      <c r="AI114" s="236">
        <v>6221</v>
      </c>
      <c r="AJ114" s="138">
        <f>(AI114-AG114)/AG114</f>
        <v>3.891115564462258E-2</v>
      </c>
      <c r="AK114" s="236">
        <v>6343</v>
      </c>
      <c r="AL114" s="138">
        <f>(AK114-AI114)/AI114</f>
        <v>1.9610995016878314E-2</v>
      </c>
      <c r="AM114" s="236">
        <v>6560.108465540523</v>
      </c>
      <c r="AN114" s="138">
        <f t="shared" ref="AN114:AN117" si="50">(AM114-AK114)/AK114</f>
        <v>3.4228041232937559E-2</v>
      </c>
      <c r="AO114" s="135" t="str">
        <f t="shared" si="48"/>
        <v xml:space="preserve"> </v>
      </c>
      <c r="AP114" s="271">
        <f t="shared" si="45"/>
        <v>1.8339465759075503E-2</v>
      </c>
    </row>
    <row r="115" spans="1:42" x14ac:dyDescent="0.2">
      <c r="A115" s="3" t="s">
        <v>167</v>
      </c>
      <c r="B115" s="5"/>
      <c r="C115" s="5">
        <v>405</v>
      </c>
      <c r="D115" s="138"/>
      <c r="E115" s="5">
        <v>420</v>
      </c>
      <c r="F115" s="138">
        <f>(E115-C115)/C115</f>
        <v>3.7037037037037035E-2</v>
      </c>
      <c r="G115" s="5">
        <v>380</v>
      </c>
      <c r="H115" s="138">
        <f>(G115-E115)/E115</f>
        <v>-9.5238095238095233E-2</v>
      </c>
      <c r="I115" s="5">
        <v>370</v>
      </c>
      <c r="J115" s="138">
        <f>(I115-G115)/G115</f>
        <v>-2.6315789473684209E-2</v>
      </c>
      <c r="K115" s="5">
        <v>304.66425834144985</v>
      </c>
      <c r="L115" s="138">
        <f>(K115-I115)/I115</f>
        <v>-0.17658308556364904</v>
      </c>
      <c r="M115" s="5">
        <v>312</v>
      </c>
      <c r="N115" s="138">
        <f>(M115-K115)/K115</f>
        <v>2.4078117001596816E-2</v>
      </c>
      <c r="O115" s="5">
        <v>294.60865510603134</v>
      </c>
      <c r="P115" s="138">
        <f>(O115-M115)/M115</f>
        <v>-5.5741490044771358E-2</v>
      </c>
      <c r="Q115" s="5">
        <v>271</v>
      </c>
      <c r="R115" s="138">
        <f>(Q115-O115)/O115</f>
        <v>-8.0135646719321413E-2</v>
      </c>
      <c r="S115" s="260">
        <v>293</v>
      </c>
      <c r="T115" s="138">
        <f>(S115-Q115)/Q115</f>
        <v>8.1180811808118078E-2</v>
      </c>
      <c r="U115" s="236">
        <v>288.25027205829093</v>
      </c>
      <c r="V115" s="138">
        <f>(U115-S115)/S115</f>
        <v>-1.6210675568972929E-2</v>
      </c>
      <c r="W115" s="236">
        <v>287.27512139441666</v>
      </c>
      <c r="X115" s="138">
        <f>(W115-U115)/U115</f>
        <v>-3.3829999774538833E-3</v>
      </c>
      <c r="Y115" s="236">
        <v>274.64511947433203</v>
      </c>
      <c r="Z115" s="138">
        <f>(Y115-W115)/W115</f>
        <v>-4.3964830155773085E-2</v>
      </c>
      <c r="AA115" s="236">
        <v>308.81599027842253</v>
      </c>
      <c r="AB115" s="138">
        <f>(AA115-Y115)/Y115</f>
        <v>0.12441827063773497</v>
      </c>
      <c r="AC115" s="236">
        <v>303.51710150030465</v>
      </c>
      <c r="AD115" s="138">
        <f>(AC115-AA115)/AA115</f>
        <v>-1.7158725405833127E-2</v>
      </c>
      <c r="AE115" s="236">
        <v>301</v>
      </c>
      <c r="AF115" s="138">
        <f>(AE115-AC115)/AC115</f>
        <v>-8.29311260506394E-3</v>
      </c>
      <c r="AG115" s="236">
        <v>171</v>
      </c>
      <c r="AH115" s="138">
        <f>(AG115-AE115)/AE115</f>
        <v>-0.43189368770764119</v>
      </c>
      <c r="AI115" s="236">
        <v>173</v>
      </c>
      <c r="AJ115" s="138">
        <f>(AI115-AG115)/AG115</f>
        <v>1.1695906432748537E-2</v>
      </c>
      <c r="AK115" s="236">
        <v>169</v>
      </c>
      <c r="AL115" s="138">
        <f>(AK115-AI115)/AI115</f>
        <v>-2.3121387283236993E-2</v>
      </c>
      <c r="AM115" s="236">
        <v>170.02298932790012</v>
      </c>
      <c r="AN115" s="138">
        <f t="shared" si="50"/>
        <v>6.0531912893498248E-3</v>
      </c>
      <c r="AO115" s="135" t="str">
        <f t="shared" si="48"/>
        <v xml:space="preserve"> </v>
      </c>
      <c r="AP115" s="271">
        <f t="shared" si="45"/>
        <v>-8.9111817974768748E-2</v>
      </c>
    </row>
    <row r="116" spans="1:42" x14ac:dyDescent="0.2">
      <c r="A116" s="3" t="s">
        <v>168</v>
      </c>
      <c r="B116" s="5"/>
      <c r="C116" s="5">
        <v>4296</v>
      </c>
      <c r="D116" s="138"/>
      <c r="E116" s="5">
        <v>4500</v>
      </c>
      <c r="F116" s="138">
        <f>(E116-C116)/C116</f>
        <v>4.7486033519553071E-2</v>
      </c>
      <c r="G116" s="5">
        <v>4740</v>
      </c>
      <c r="H116" s="138">
        <f>(G116-E116)/E116</f>
        <v>5.3333333333333337E-2</v>
      </c>
      <c r="I116" s="5">
        <v>4220</v>
      </c>
      <c r="J116" s="138">
        <f>(I116-G116)/G116</f>
        <v>-0.10970464135021098</v>
      </c>
      <c r="K116" s="5">
        <v>3453.1709722098149</v>
      </c>
      <c r="L116" s="138">
        <f>(K116-I116)/I116</f>
        <v>-0.18171303976070738</v>
      </c>
      <c r="M116" s="5">
        <v>3056</v>
      </c>
      <c r="N116" s="138">
        <f>(M116-K116)/K116</f>
        <v>-0.11501630686871264</v>
      </c>
      <c r="O116" s="5">
        <v>2770.0824390454027</v>
      </c>
      <c r="P116" s="138">
        <f>(O116-M116)/M116</f>
        <v>-9.3559411307132634E-2</v>
      </c>
      <c r="Q116" s="5">
        <v>2623</v>
      </c>
      <c r="R116" s="138">
        <f>(Q116-O116)/O116</f>
        <v>-5.3096773212312307E-2</v>
      </c>
      <c r="S116" s="260">
        <v>2645</v>
      </c>
      <c r="T116" s="138">
        <f>(S116-Q116)/Q116</f>
        <v>8.3873427373236751E-3</v>
      </c>
      <c r="U116" s="236">
        <v>2692.3256905765002</v>
      </c>
      <c r="V116" s="138">
        <f>(U116-S116)/S116</f>
        <v>1.7892510614933899E-2</v>
      </c>
      <c r="W116" s="236">
        <v>2739.7992165790542</v>
      </c>
      <c r="X116" s="138">
        <f>(W116-U116)/U116</f>
        <v>1.7632906066572022E-2</v>
      </c>
      <c r="Y116" s="236">
        <v>2844.8125043068253</v>
      </c>
      <c r="Z116" s="138">
        <f>(Y116-W116)/W116</f>
        <v>3.8328826102407565E-2</v>
      </c>
      <c r="AA116" s="236">
        <v>2922.4686395437475</v>
      </c>
      <c r="AB116" s="138">
        <f>(AA116-Y116)/Y116</f>
        <v>2.7297452861781514E-2</v>
      </c>
      <c r="AC116" s="236">
        <v>2966.8148831715916</v>
      </c>
      <c r="AD116" s="138">
        <f>(AC116-AA116)/AA116</f>
        <v>1.5174241060382241E-2</v>
      </c>
      <c r="AE116" s="236">
        <v>2816</v>
      </c>
      <c r="AF116" s="138">
        <f>(AE116-AC116)/AC116</f>
        <v>-5.0833937778540179E-2</v>
      </c>
      <c r="AG116" s="236">
        <v>3326</v>
      </c>
      <c r="AH116" s="138">
        <f>(AG116-AE116)/AE116</f>
        <v>0.18110795454545456</v>
      </c>
      <c r="AI116" s="236">
        <v>3421</v>
      </c>
      <c r="AJ116" s="138">
        <f>(AI116-AG116)/AG116</f>
        <v>2.8562838244137103E-2</v>
      </c>
      <c r="AK116" s="236">
        <v>3657</v>
      </c>
      <c r="AL116" s="138">
        <f>(AK116-AI116)/AI116</f>
        <v>6.8985676702718504E-2</v>
      </c>
      <c r="AM116" s="236">
        <v>3803.9529457399299</v>
      </c>
      <c r="AN116" s="138">
        <f t="shared" si="50"/>
        <v>4.0184015788878827E-2</v>
      </c>
      <c r="AO116" s="135" t="str">
        <f t="shared" si="48"/>
        <v xml:space="preserve"> </v>
      </c>
      <c r="AP116" s="271">
        <f t="shared" si="45"/>
        <v>5.360130950052977E-2</v>
      </c>
    </row>
    <row r="117" spans="1:42" x14ac:dyDescent="0.2">
      <c r="A117" s="3" t="s">
        <v>169</v>
      </c>
      <c r="B117" s="5"/>
      <c r="C117" s="5">
        <v>234</v>
      </c>
      <c r="D117" s="138"/>
      <c r="E117" s="5">
        <v>250</v>
      </c>
      <c r="F117" s="138">
        <f>(E117-C117)/C117</f>
        <v>6.8376068376068383E-2</v>
      </c>
      <c r="G117" s="5">
        <v>240</v>
      </c>
      <c r="H117" s="138">
        <f>(G117-E117)/E117</f>
        <v>-0.04</v>
      </c>
      <c r="I117" s="5">
        <v>250</v>
      </c>
      <c r="J117" s="138">
        <f>(I117-G117)/G117</f>
        <v>4.1666666666666664E-2</v>
      </c>
      <c r="K117" s="5">
        <v>219.06420102385161</v>
      </c>
      <c r="L117" s="138">
        <f>(K117-I117)/I117</f>
        <v>-0.12374319590459357</v>
      </c>
      <c r="M117" s="5">
        <v>275</v>
      </c>
      <c r="N117" s="138">
        <f>(M117-K117)/K117</f>
        <v>0.25533975297980399</v>
      </c>
      <c r="O117" s="5">
        <v>256.18170833821517</v>
      </c>
      <c r="P117" s="138">
        <f>(O117-M117)/M117</f>
        <v>-6.8430151497399366E-2</v>
      </c>
      <c r="Q117" s="5">
        <v>271</v>
      </c>
      <c r="R117" s="138">
        <f>(Q117-O117)/O117</f>
        <v>5.7842895021300592E-2</v>
      </c>
      <c r="S117" s="260">
        <v>239</v>
      </c>
      <c r="T117" s="138">
        <f>(S117-Q117)/Q117</f>
        <v>-0.11808118081180811</v>
      </c>
      <c r="U117" s="236">
        <v>287.90513313661995</v>
      </c>
      <c r="V117" s="138">
        <f>(U117-S117)/S117</f>
        <v>0.20462398801933035</v>
      </c>
      <c r="W117" s="236">
        <v>305.97953308894398</v>
      </c>
      <c r="X117" s="138">
        <f>(W117-U117)/U117</f>
        <v>6.2779012501132325E-2</v>
      </c>
      <c r="Y117" s="236">
        <v>308.97663783275397</v>
      </c>
      <c r="Z117" s="138">
        <f>(Y117-W117)/W117</f>
        <v>9.7951150965995097E-3</v>
      </c>
      <c r="AA117" s="236">
        <v>319.92414116225984</v>
      </c>
      <c r="AB117" s="138">
        <f>(AA117-Y117)/Y117</f>
        <v>3.5431492187547375E-2</v>
      </c>
      <c r="AC117" s="236">
        <v>330.5930016701476</v>
      </c>
      <c r="AD117" s="138">
        <f>(AC117-AA117)/AA117</f>
        <v>3.3348094548690844E-2</v>
      </c>
      <c r="AE117" s="236">
        <v>316</v>
      </c>
      <c r="AF117" s="138">
        <f>(AE117-AC117)/AC117</f>
        <v>-4.4141895310620974E-2</v>
      </c>
      <c r="AG117" s="236">
        <v>125</v>
      </c>
      <c r="AH117" s="138">
        <f>(AG117-AE117)/AE117</f>
        <v>-0.60443037974683544</v>
      </c>
      <c r="AI117" s="236">
        <v>124</v>
      </c>
      <c r="AJ117" s="138">
        <f>(AI117-AG117)/AG117</f>
        <v>-8.0000000000000002E-3</v>
      </c>
      <c r="AK117" s="236">
        <v>124</v>
      </c>
      <c r="AL117" s="138">
        <f>(AK117-AI117)/AI117</f>
        <v>0</v>
      </c>
      <c r="AM117" s="236">
        <v>127.69438960650196</v>
      </c>
      <c r="AN117" s="138">
        <f t="shared" si="50"/>
        <v>2.979346456856417E-2</v>
      </c>
      <c r="AO117" s="135" t="str">
        <f t="shared" si="48"/>
        <v xml:space="preserve"> </v>
      </c>
      <c r="AP117" s="271">
        <f t="shared" si="45"/>
        <v>-0.12535576209777846</v>
      </c>
    </row>
    <row r="118" spans="1:42" x14ac:dyDescent="0.2">
      <c r="A118" s="3" t="s">
        <v>170</v>
      </c>
      <c r="B118" s="5"/>
      <c r="C118" s="5"/>
      <c r="D118" s="138"/>
      <c r="E118" s="5"/>
      <c r="F118" s="138"/>
      <c r="G118" s="5"/>
      <c r="H118" s="138"/>
      <c r="J118" s="138"/>
      <c r="L118" s="138"/>
      <c r="N118" s="138"/>
      <c r="P118" s="138"/>
      <c r="R118" s="138"/>
      <c r="S118" s="260"/>
      <c r="T118" s="138"/>
      <c r="V118" s="138"/>
      <c r="X118" s="138"/>
      <c r="Z118" s="138"/>
      <c r="AB118" s="138"/>
      <c r="AD118" s="138"/>
      <c r="AF118" s="138"/>
      <c r="AH118" s="138"/>
      <c r="AJ118" s="138"/>
      <c r="AL118" s="138"/>
      <c r="AM118" s="236"/>
      <c r="AN118" s="138"/>
      <c r="AP118" s="271"/>
    </row>
    <row r="119" spans="1:42" x14ac:dyDescent="0.2">
      <c r="A119" s="3" t="s">
        <v>171</v>
      </c>
      <c r="B119" s="5"/>
      <c r="C119" s="5"/>
      <c r="D119" s="138"/>
      <c r="E119" s="5"/>
      <c r="F119" s="138"/>
      <c r="G119" s="5"/>
      <c r="H119" s="138"/>
      <c r="J119" s="138"/>
      <c r="L119" s="138"/>
      <c r="N119" s="138"/>
      <c r="P119" s="138"/>
      <c r="R119" s="138"/>
      <c r="S119" s="260"/>
      <c r="T119" s="138"/>
      <c r="V119" s="138"/>
      <c r="X119" s="138"/>
      <c r="Z119" s="138"/>
      <c r="AB119" s="138"/>
      <c r="AD119" s="138"/>
      <c r="AF119" s="138"/>
      <c r="AH119" s="138"/>
      <c r="AJ119" s="138"/>
      <c r="AL119" s="138"/>
      <c r="AM119" s="236"/>
      <c r="AN119" s="138"/>
      <c r="AP119" s="271"/>
    </row>
    <row r="120" spans="1:42" x14ac:dyDescent="0.2">
      <c r="B120" s="5"/>
      <c r="C120" s="5"/>
      <c r="D120" s="138"/>
      <c r="E120" s="5"/>
      <c r="F120" s="138"/>
      <c r="G120" s="5"/>
      <c r="H120" s="138"/>
      <c r="J120" s="138"/>
      <c r="L120" s="138"/>
      <c r="N120" s="138"/>
      <c r="P120" s="138"/>
      <c r="R120" s="138"/>
      <c r="S120" s="260"/>
      <c r="T120" s="138"/>
      <c r="V120" s="138"/>
      <c r="X120" s="138"/>
      <c r="Z120" s="138"/>
      <c r="AB120" s="138"/>
      <c r="AD120" s="138"/>
      <c r="AF120" s="138"/>
      <c r="AH120" s="138"/>
      <c r="AJ120" s="138"/>
      <c r="AL120" s="138"/>
      <c r="AM120" s="236"/>
      <c r="AN120" s="138"/>
      <c r="AP120" s="271"/>
    </row>
    <row r="121" spans="1:42" x14ac:dyDescent="0.2">
      <c r="B121" s="5"/>
      <c r="C121" s="5"/>
      <c r="D121" s="138"/>
      <c r="E121" s="5"/>
      <c r="F121" s="138"/>
      <c r="G121" s="5"/>
      <c r="H121" s="138"/>
      <c r="J121" s="138"/>
      <c r="L121" s="138"/>
      <c r="N121" s="138"/>
      <c r="P121" s="138"/>
      <c r="R121" s="138"/>
      <c r="S121" s="260"/>
      <c r="T121" s="138"/>
      <c r="V121" s="138"/>
      <c r="X121" s="138"/>
      <c r="Z121" s="138"/>
      <c r="AB121" s="138"/>
      <c r="AD121" s="138"/>
      <c r="AF121" s="138"/>
      <c r="AH121" s="138"/>
      <c r="AJ121" s="138"/>
      <c r="AL121" s="138"/>
      <c r="AM121" s="236"/>
      <c r="AN121" s="138"/>
      <c r="AP121" s="271"/>
    </row>
    <row r="122" spans="1:42" x14ac:dyDescent="0.2">
      <c r="B122" s="5"/>
      <c r="C122" s="5"/>
      <c r="D122" s="138"/>
      <c r="E122" s="5"/>
      <c r="F122" s="138"/>
      <c r="G122" s="5"/>
      <c r="H122" s="138"/>
      <c r="J122" s="138"/>
      <c r="L122" s="138"/>
      <c r="N122" s="138"/>
      <c r="P122" s="138"/>
      <c r="R122" s="138"/>
      <c r="S122" s="260"/>
      <c r="T122" s="138"/>
      <c r="V122" s="138"/>
      <c r="X122" s="138"/>
      <c r="Z122" s="138"/>
      <c r="AB122" s="138"/>
      <c r="AD122" s="138"/>
      <c r="AF122" s="138"/>
      <c r="AH122" s="138"/>
      <c r="AJ122" s="138"/>
      <c r="AL122" s="138"/>
      <c r="AM122" s="236"/>
      <c r="AN122" s="138"/>
      <c r="AP122" s="271"/>
    </row>
    <row r="123" spans="1:42" x14ac:dyDescent="0.2">
      <c r="A123" s="3" t="s">
        <v>172</v>
      </c>
      <c r="B123" s="5">
        <v>4110</v>
      </c>
      <c r="C123" s="5">
        <v>4020</v>
      </c>
      <c r="D123" s="138">
        <f>(C123-B123)/B123</f>
        <v>-2.1897810218978103E-2</v>
      </c>
      <c r="E123" s="5">
        <v>4110</v>
      </c>
      <c r="F123" s="138">
        <f>(E123-C123)/C123</f>
        <v>2.2388059701492536E-2</v>
      </c>
      <c r="G123" s="5">
        <v>4190</v>
      </c>
      <c r="H123" s="138">
        <f>(G123-E123)/E123</f>
        <v>1.9464720194647202E-2</v>
      </c>
      <c r="I123" s="5">
        <v>4250</v>
      </c>
      <c r="J123" s="138">
        <f>(I123-G123)/G123</f>
        <v>1.4319809069212411E-2</v>
      </c>
      <c r="K123" s="5">
        <v>4165</v>
      </c>
      <c r="L123" s="138">
        <f>(K123-I123)/I123</f>
        <v>-0.02</v>
      </c>
      <c r="M123" s="5">
        <v>3861</v>
      </c>
      <c r="N123" s="138">
        <f>(M123-K123)/K123</f>
        <v>-7.2989195678271307E-2</v>
      </c>
      <c r="O123" s="5">
        <v>3878.7861379999995</v>
      </c>
      <c r="P123" s="138">
        <f>(O123-M123)/M123</f>
        <v>4.6066143486142149E-3</v>
      </c>
      <c r="Q123" s="5">
        <v>3749</v>
      </c>
      <c r="R123" s="138">
        <f>(Q123-O123)/O123</f>
        <v>-3.3460503720094376E-2</v>
      </c>
      <c r="S123" s="260">
        <v>3822</v>
      </c>
      <c r="T123" s="138">
        <f>(S123-Q123)/Q123</f>
        <v>1.9471859162443317E-2</v>
      </c>
      <c r="U123" s="236">
        <v>3886.2409600000001</v>
      </c>
      <c r="V123" s="138">
        <f>(U123-S123)/S123</f>
        <v>1.6808205128205151E-2</v>
      </c>
      <c r="W123" s="236">
        <v>3987</v>
      </c>
      <c r="X123" s="138">
        <f>(W123-U123)/U123</f>
        <v>2.5927121101621015E-2</v>
      </c>
      <c r="Y123" s="236">
        <v>4184.48974</v>
      </c>
      <c r="Z123" s="138">
        <f>(Y123-W123)/W123</f>
        <v>4.9533418610484069E-2</v>
      </c>
      <c r="AA123" s="236">
        <v>4352.2291999999998</v>
      </c>
      <c r="AB123" s="138">
        <f>(AA123-Y123)/Y123</f>
        <v>4.0086001023388766E-2</v>
      </c>
      <c r="AC123" s="236">
        <v>4316.5841199999995</v>
      </c>
      <c r="AD123" s="138">
        <f>(AC123-AA123)/AA123</f>
        <v>-8.1900741808359351E-3</v>
      </c>
      <c r="AE123" s="236">
        <v>5345</v>
      </c>
      <c r="AF123" s="138">
        <f>(AE123-AC123)/AC123</f>
        <v>0.23824761696060739</v>
      </c>
      <c r="AG123" s="236">
        <v>5284</v>
      </c>
      <c r="AH123" s="138">
        <f>(AG123-AE123)/AE123</f>
        <v>-1.1412535079513564E-2</v>
      </c>
      <c r="AI123" s="236">
        <v>5100</v>
      </c>
      <c r="AJ123" s="138">
        <f>(AI123-AG123)/AG123</f>
        <v>-3.4822104466313397E-2</v>
      </c>
      <c r="AK123" s="236">
        <v>5020</v>
      </c>
      <c r="AL123" s="138">
        <f>(AK123-AI123)/AI123</f>
        <v>-1.5686274509803921E-2</v>
      </c>
      <c r="AM123" s="236">
        <v>5003.9397369411636</v>
      </c>
      <c r="AN123" s="138">
        <f t="shared" ref="AN123:AN127" si="51">(AM123-AK123)/AK123</f>
        <v>-3.1992555894096468E-3</v>
      </c>
      <c r="AO123" s="135" t="str">
        <f t="shared" si="48"/>
        <v>YES</v>
      </c>
      <c r="AP123" s="271">
        <f t="shared" si="45"/>
        <v>3.4625489463113376E-2</v>
      </c>
    </row>
    <row r="124" spans="1:42" x14ac:dyDescent="0.2">
      <c r="A124" s="3" t="s">
        <v>173</v>
      </c>
      <c r="B124" s="5">
        <v>1120</v>
      </c>
      <c r="C124" s="5">
        <v>1110</v>
      </c>
      <c r="D124" s="138">
        <f>(C124-B124)/B124</f>
        <v>-8.9285714285714281E-3</v>
      </c>
      <c r="E124" s="5">
        <v>1010</v>
      </c>
      <c r="F124" s="138">
        <f>(E124-C124)/C124</f>
        <v>-9.0090090090090086E-2</v>
      </c>
      <c r="G124" s="5">
        <v>1150</v>
      </c>
      <c r="H124" s="138">
        <f>(G124-E124)/E124</f>
        <v>0.13861386138613863</v>
      </c>
      <c r="I124" s="5">
        <v>1130</v>
      </c>
      <c r="J124" s="138">
        <f>(I124-G124)/G124</f>
        <v>-1.7391304347826087E-2</v>
      </c>
      <c r="K124" s="5">
        <v>1123</v>
      </c>
      <c r="L124" s="138">
        <f>(K124-I124)/I124</f>
        <v>-6.1946902654867256E-3</v>
      </c>
      <c r="M124" s="5">
        <v>1276</v>
      </c>
      <c r="N124" s="138">
        <f>(M124-K124)/K124</f>
        <v>0.13624220837043632</v>
      </c>
      <c r="O124" s="5">
        <v>1058.4658087839382</v>
      </c>
      <c r="P124" s="138">
        <f>(O124-M124)/M124</f>
        <v>-0.17048134107841834</v>
      </c>
      <c r="Q124" s="5">
        <v>1184</v>
      </c>
      <c r="R124" s="138">
        <f>(Q124-O124)/O124</f>
        <v>0.11860013821352142</v>
      </c>
      <c r="S124" s="260">
        <v>1014</v>
      </c>
      <c r="T124" s="138">
        <f>(S124-Q124)/Q124</f>
        <v>-0.14358108108108109</v>
      </c>
      <c r="U124" s="236">
        <v>1015.3141664985961</v>
      </c>
      <c r="V124" s="138">
        <f>(U124-S124)/S124</f>
        <v>1.2960221879646321E-3</v>
      </c>
      <c r="W124" s="236">
        <v>1001.5907875608939</v>
      </c>
      <c r="X124" s="138">
        <f>(W124-U124)/U124</f>
        <v>-1.3516386740695817E-2</v>
      </c>
      <c r="Y124" s="236">
        <v>1088.5965699893879</v>
      </c>
      <c r="Z124" s="138">
        <f>(Y124-W124)/W124</f>
        <v>8.6867594539655604E-2</v>
      </c>
      <c r="AA124" s="236">
        <v>1077.0033888733246</v>
      </c>
      <c r="AB124" s="138">
        <f>(AA124-Y124)/Y124</f>
        <v>-1.0649657950122259E-2</v>
      </c>
      <c r="AC124" s="236">
        <v>1105.7877251174546</v>
      </c>
      <c r="AD124" s="138">
        <f>(AC124-AA124)/AA124</f>
        <v>2.6726319101225672E-2</v>
      </c>
      <c r="AE124" s="236">
        <v>1130</v>
      </c>
      <c r="AF124" s="138">
        <f>(AE124-AC124)/AC124</f>
        <v>2.189595193776786E-2</v>
      </c>
      <c r="AG124" s="236">
        <v>1047</v>
      </c>
      <c r="AH124" s="138">
        <f>(AG124-AE124)/AE124</f>
        <v>-7.3451327433628325E-2</v>
      </c>
      <c r="AI124" s="236">
        <v>1089</v>
      </c>
      <c r="AJ124" s="138">
        <f>(AI124-AG124)/AG124</f>
        <v>4.0114613180515762E-2</v>
      </c>
      <c r="AK124" s="236">
        <v>1068</v>
      </c>
      <c r="AL124" s="138">
        <f>(AK124-AI124)/AI124</f>
        <v>-1.928374655647383E-2</v>
      </c>
      <c r="AM124" s="236">
        <v>1056.322164247184</v>
      </c>
      <c r="AN124" s="138">
        <f t="shared" si="51"/>
        <v>-1.0934303139340832E-2</v>
      </c>
      <c r="AO124" s="135" t="str">
        <f t="shared" si="48"/>
        <v xml:space="preserve"> </v>
      </c>
      <c r="AP124" s="271">
        <f t="shared" si="45"/>
        <v>-8.331762402231874E-3</v>
      </c>
    </row>
    <row r="125" spans="1:42" x14ac:dyDescent="0.2">
      <c r="A125" s="3" t="s">
        <v>174</v>
      </c>
      <c r="B125" s="5"/>
      <c r="C125" s="5">
        <v>362</v>
      </c>
      <c r="D125" s="138"/>
      <c r="E125" s="5">
        <v>370</v>
      </c>
      <c r="F125" s="138">
        <f>(E125-C125)/C125</f>
        <v>2.2099447513812154E-2</v>
      </c>
      <c r="G125" s="5">
        <v>480</v>
      </c>
      <c r="H125" s="138">
        <f>(G125-E125)/E125</f>
        <v>0.29729729729729731</v>
      </c>
      <c r="I125" s="5">
        <v>490</v>
      </c>
      <c r="J125" s="138">
        <f>(I125-G125)/G125</f>
        <v>2.0833333333333332E-2</v>
      </c>
      <c r="K125" s="5">
        <v>477.51556178244959</v>
      </c>
      <c r="L125" s="138">
        <f>(K125-I125)/I125</f>
        <v>-2.5478445341939604E-2</v>
      </c>
      <c r="M125" s="5">
        <v>367</v>
      </c>
      <c r="N125" s="138">
        <f>(M125-K125)/K125</f>
        <v>-0.23143866007198141</v>
      </c>
      <c r="O125" s="5">
        <v>442.04831347684069</v>
      </c>
      <c r="P125" s="138">
        <f>(O125-M125)/M125</f>
        <v>0.20449131737558771</v>
      </c>
      <c r="Q125" s="5">
        <v>428</v>
      </c>
      <c r="R125" s="138">
        <f>(Q125-O125)/O125</f>
        <v>-3.1780040888170234E-2</v>
      </c>
      <c r="S125" s="260">
        <v>441</v>
      </c>
      <c r="T125" s="138">
        <f>(S125-Q125)/Q125</f>
        <v>3.0373831775700934E-2</v>
      </c>
      <c r="U125" s="236">
        <v>428.41030257621554</v>
      </c>
      <c r="V125" s="138">
        <f>(U125-S125)/S125</f>
        <v>-2.8548066720599678E-2</v>
      </c>
      <c r="W125" s="236">
        <v>431.53577158135477</v>
      </c>
      <c r="X125" s="138">
        <f>(W125-U125)/U125</f>
        <v>7.2955038343952812E-3</v>
      </c>
      <c r="Y125" s="236">
        <v>427.12292167428291</v>
      </c>
      <c r="Z125" s="138">
        <f>(Y125-W125)/W125</f>
        <v>-1.0225919142000797E-2</v>
      </c>
      <c r="AA125" s="236">
        <v>463.60803071372356</v>
      </c>
      <c r="AB125" s="138">
        <f>(AA125-Y125)/Y125</f>
        <v>8.542062995922195E-2</v>
      </c>
      <c r="AC125" s="236">
        <v>454.74216690472787</v>
      </c>
      <c r="AD125" s="138">
        <f>(AC125-AA125)/AA125</f>
        <v>-1.9123620001462702E-2</v>
      </c>
      <c r="AE125" s="236">
        <v>608</v>
      </c>
      <c r="AF125" s="138">
        <f>(AE125-AC125)/AC125</f>
        <v>0.33702138101343232</v>
      </c>
      <c r="AG125" s="236">
        <v>627</v>
      </c>
      <c r="AH125" s="138">
        <f>(AG125-AE125)/AE125</f>
        <v>3.125E-2</v>
      </c>
      <c r="AI125" s="236">
        <v>583</v>
      </c>
      <c r="AJ125" s="138">
        <f>(AI125-AG125)/AG125</f>
        <v>-7.0175438596491224E-2</v>
      </c>
      <c r="AK125" s="236">
        <v>583</v>
      </c>
      <c r="AL125" s="138">
        <f>(AK125-AI125)/AI125</f>
        <v>0</v>
      </c>
      <c r="AM125" s="236">
        <v>577.96365534996232</v>
      </c>
      <c r="AN125" s="138">
        <f t="shared" si="51"/>
        <v>-8.638670068675261E-3</v>
      </c>
      <c r="AO125" s="135" t="str">
        <f t="shared" si="48"/>
        <v xml:space="preserve"> </v>
      </c>
      <c r="AP125" s="271">
        <f t="shared" si="45"/>
        <v>5.7891454469653172E-2</v>
      </c>
    </row>
    <row r="126" spans="1:42" x14ac:dyDescent="0.2">
      <c r="A126" s="3" t="s">
        <v>175</v>
      </c>
      <c r="B126" s="5"/>
      <c r="C126" s="5">
        <v>402</v>
      </c>
      <c r="D126" s="138"/>
      <c r="E126" s="5">
        <v>410</v>
      </c>
      <c r="F126" s="138">
        <f>(E126-C126)/C126</f>
        <v>1.9900497512437811E-2</v>
      </c>
      <c r="G126" s="5">
        <v>580</v>
      </c>
      <c r="H126" s="138">
        <f>(G126-E126)/E126</f>
        <v>0.41463414634146339</v>
      </c>
      <c r="I126" s="5">
        <v>670</v>
      </c>
      <c r="J126" s="138">
        <f>(I126-G126)/G126</f>
        <v>0.15517241379310345</v>
      </c>
      <c r="K126" s="5">
        <v>632.48157348377151</v>
      </c>
      <c r="L126" s="138">
        <f>(K126-I126)/I126</f>
        <v>-5.5997651516758937E-2</v>
      </c>
      <c r="M126" s="5">
        <v>552</v>
      </c>
      <c r="N126" s="138">
        <f>(M126-K126)/K126</f>
        <v>-0.12724730151500066</v>
      </c>
      <c r="O126" s="5">
        <v>563.79890829037731</v>
      </c>
      <c r="P126" s="138">
        <f>(O126-M126)/M126</f>
        <v>2.1374833859379189E-2</v>
      </c>
      <c r="Q126" s="5">
        <v>541</v>
      </c>
      <c r="R126" s="138">
        <f>(Q126-O126)/O126</f>
        <v>-4.0438014254960263E-2</v>
      </c>
      <c r="S126" s="260">
        <v>552</v>
      </c>
      <c r="T126" s="138">
        <f>(S126-Q126)/Q126</f>
        <v>2.0332717190388171E-2</v>
      </c>
      <c r="U126" s="236">
        <v>562.17554473081452</v>
      </c>
      <c r="V126" s="138">
        <f>(U126-S126)/S126</f>
        <v>1.8433957845678483E-2</v>
      </c>
      <c r="W126" s="236">
        <v>558.14337398745465</v>
      </c>
      <c r="X126" s="138">
        <f>(W126-U126)/U126</f>
        <v>-7.1724406747194725E-3</v>
      </c>
      <c r="Y126" s="236">
        <v>595.43831030016554</v>
      </c>
      <c r="Z126" s="138">
        <f>(Y126-W126)/W126</f>
        <v>6.6819634615153861E-2</v>
      </c>
      <c r="AA126" s="236">
        <v>645.41510158185054</v>
      </c>
      <c r="AB126" s="138">
        <f>(AA126-Y126)/Y126</f>
        <v>8.393277761468064E-2</v>
      </c>
      <c r="AC126" s="236">
        <v>659.1850738745004</v>
      </c>
      <c r="AD126" s="138">
        <f>(AC126-AA126)/AA126</f>
        <v>2.1335063680569272E-2</v>
      </c>
      <c r="AE126" s="236">
        <v>757</v>
      </c>
      <c r="AF126" s="138">
        <f>(AE126-AC126)/AC126</f>
        <v>0.14838765318299998</v>
      </c>
      <c r="AG126" s="236">
        <v>781</v>
      </c>
      <c r="AH126" s="138">
        <f>(AG126-AE126)/AE126</f>
        <v>3.1704095112285335E-2</v>
      </c>
      <c r="AI126" s="236">
        <v>832</v>
      </c>
      <c r="AJ126" s="138">
        <f>(AI126-AG126)/AG126</f>
        <v>6.530089628681178E-2</v>
      </c>
      <c r="AK126" s="236">
        <v>811</v>
      </c>
      <c r="AL126" s="138">
        <f>(AK126-AI126)/AI126</f>
        <v>-2.5240384615384616E-2</v>
      </c>
      <c r="AM126" s="236">
        <v>797.31157953835782</v>
      </c>
      <c r="AN126" s="138">
        <f t="shared" si="51"/>
        <v>-1.6878446931741283E-2</v>
      </c>
      <c r="AO126" s="135" t="str">
        <f t="shared" si="48"/>
        <v xml:space="preserve"> </v>
      </c>
      <c r="AP126" s="271">
        <f t="shared" si="45"/>
        <v>4.0654762606994244E-2</v>
      </c>
    </row>
    <row r="127" spans="1:42" x14ac:dyDescent="0.2">
      <c r="A127" s="3" t="s">
        <v>176</v>
      </c>
      <c r="B127" s="5"/>
      <c r="C127" s="5">
        <v>755</v>
      </c>
      <c r="D127" s="138"/>
      <c r="E127" s="5">
        <v>770</v>
      </c>
      <c r="F127" s="138">
        <f>(E127-C127)/C127</f>
        <v>1.9867549668874173E-2</v>
      </c>
      <c r="G127" s="5">
        <v>920</v>
      </c>
      <c r="H127" s="138">
        <f>(G127-E127)/E127</f>
        <v>0.19480519480519481</v>
      </c>
      <c r="I127" s="5">
        <v>890</v>
      </c>
      <c r="J127" s="138">
        <f>(I127-G127)/G127</f>
        <v>-3.2608695652173912E-2</v>
      </c>
      <c r="K127" s="5">
        <v>840.29733848026069</v>
      </c>
      <c r="L127" s="138">
        <f>(K127-I127)/I127</f>
        <v>-5.5845687100830682E-2</v>
      </c>
      <c r="M127" s="5">
        <v>628</v>
      </c>
      <c r="N127" s="138">
        <f>(M127-K127)/K127</f>
        <v>-0.25264549672883169</v>
      </c>
      <c r="O127" s="5">
        <v>679.9302448817507</v>
      </c>
      <c r="P127" s="138">
        <f>(O127-M127)/M127</f>
        <v>8.2691472741641237E-2</v>
      </c>
      <c r="Q127" s="5">
        <v>659</v>
      </c>
      <c r="R127" s="138">
        <f>(Q127-O127)/O127</f>
        <v>-3.0782929630363415E-2</v>
      </c>
      <c r="S127" s="260">
        <v>669</v>
      </c>
      <c r="T127" s="138">
        <f>(S127-Q127)/Q127</f>
        <v>1.5174506828528073E-2</v>
      </c>
      <c r="U127" s="236">
        <v>697.748425292908</v>
      </c>
      <c r="V127" s="138">
        <f>(U127-S127)/S127</f>
        <v>4.2972235116454406E-2</v>
      </c>
      <c r="W127" s="236">
        <v>702.58303307047004</v>
      </c>
      <c r="X127" s="138">
        <f>(W127-U127)/U127</f>
        <v>6.9288694926577877E-3</v>
      </c>
      <c r="Y127" s="236">
        <v>790.90134225280349</v>
      </c>
      <c r="Z127" s="138">
        <f>(Y127-W127)/W127</f>
        <v>0.12570515515633723</v>
      </c>
      <c r="AA127" s="236">
        <v>785.40654615030803</v>
      </c>
      <c r="AB127" s="138">
        <f>(AA127-Y127)/Y127</f>
        <v>-6.9475114138055176E-3</v>
      </c>
      <c r="AC127" s="236">
        <v>836.87844161458315</v>
      </c>
      <c r="AD127" s="138">
        <f>(AC127-AA127)/AA127</f>
        <v>6.5535353272220667E-2</v>
      </c>
      <c r="AE127" s="236">
        <v>1014</v>
      </c>
      <c r="AF127" s="138">
        <f>(AE127-AC127)/AC127</f>
        <v>0.21164550259377884</v>
      </c>
      <c r="AG127" s="236">
        <v>933</v>
      </c>
      <c r="AH127" s="138">
        <f>(AG127-AE127)/AE127</f>
        <v>-7.9881656804733733E-2</v>
      </c>
      <c r="AI127" s="236">
        <v>810</v>
      </c>
      <c r="AJ127" s="138">
        <f>(AI127-AG127)/AG127</f>
        <v>-0.13183279742765272</v>
      </c>
      <c r="AK127" s="236">
        <v>790</v>
      </c>
      <c r="AL127" s="138">
        <f>(AK127-AI127)/AI127</f>
        <v>-2.4691358024691357E-2</v>
      </c>
      <c r="AM127" s="236">
        <v>784.37903004815485</v>
      </c>
      <c r="AN127" s="138">
        <f t="shared" si="51"/>
        <v>-7.1151518377786764E-3</v>
      </c>
      <c r="AO127" s="135" t="str">
        <f t="shared" si="48"/>
        <v>YES</v>
      </c>
      <c r="AP127" s="271">
        <f t="shared" si="45"/>
        <v>-6.3750923002155345E-3</v>
      </c>
    </row>
    <row r="128" spans="1:42" x14ac:dyDescent="0.2">
      <c r="A128" s="3" t="s">
        <v>177</v>
      </c>
      <c r="B128" s="5"/>
      <c r="C128" s="5"/>
      <c r="D128" s="138"/>
      <c r="E128" s="5"/>
      <c r="F128" s="138"/>
      <c r="G128" s="5"/>
      <c r="H128" s="138"/>
      <c r="J128" s="138"/>
      <c r="L128" s="138"/>
      <c r="N128" s="138"/>
      <c r="P128" s="138"/>
      <c r="R128" s="138"/>
      <c r="S128" s="260"/>
      <c r="T128" s="138"/>
      <c r="V128" s="138"/>
      <c r="X128" s="138"/>
      <c r="Z128" s="138"/>
      <c r="AB128" s="138"/>
      <c r="AD128" s="138"/>
      <c r="AF128" s="138"/>
      <c r="AH128" s="138"/>
      <c r="AJ128" s="138"/>
      <c r="AL128" s="138"/>
      <c r="AM128" s="236"/>
      <c r="AN128" s="138"/>
      <c r="AP128" s="271"/>
    </row>
    <row r="129" spans="1:42" x14ac:dyDescent="0.2">
      <c r="A129" s="3" t="s">
        <v>178</v>
      </c>
      <c r="B129" s="5"/>
      <c r="C129" s="5"/>
      <c r="D129" s="138"/>
      <c r="E129" s="5"/>
      <c r="F129" s="138"/>
      <c r="G129" s="5"/>
      <c r="H129" s="138"/>
      <c r="J129" s="138"/>
      <c r="L129" s="138"/>
      <c r="N129" s="138"/>
      <c r="P129" s="138"/>
      <c r="R129" s="138"/>
      <c r="S129" s="260"/>
      <c r="T129" s="138"/>
      <c r="V129" s="138"/>
      <c r="X129" s="138"/>
      <c r="Z129" s="138"/>
      <c r="AB129" s="138"/>
      <c r="AD129" s="138"/>
      <c r="AF129" s="138"/>
      <c r="AH129" s="138"/>
      <c r="AJ129" s="138"/>
      <c r="AL129" s="138"/>
      <c r="AM129" s="236"/>
      <c r="AN129" s="138"/>
      <c r="AP129" s="271"/>
    </row>
    <row r="130" spans="1:42" x14ac:dyDescent="0.2">
      <c r="A130" s="3" t="s">
        <v>179</v>
      </c>
      <c r="B130" s="5"/>
      <c r="C130" s="5"/>
      <c r="D130" s="138"/>
      <c r="E130" s="5"/>
      <c r="F130" s="138"/>
      <c r="G130" s="5"/>
      <c r="H130" s="138"/>
      <c r="J130" s="138"/>
      <c r="L130" s="138"/>
      <c r="N130" s="138"/>
      <c r="P130" s="138"/>
      <c r="R130" s="138"/>
      <c r="S130" s="260"/>
      <c r="T130" s="138"/>
      <c r="V130" s="138"/>
      <c r="X130" s="138"/>
      <c r="Z130" s="138"/>
      <c r="AB130" s="138"/>
      <c r="AD130" s="138"/>
      <c r="AF130" s="138"/>
      <c r="AH130" s="138"/>
      <c r="AJ130" s="138"/>
      <c r="AL130" s="138"/>
      <c r="AM130" s="236"/>
      <c r="AN130" s="138"/>
      <c r="AP130" s="271"/>
    </row>
    <row r="131" spans="1:42" x14ac:dyDescent="0.2">
      <c r="B131" s="5"/>
      <c r="C131" s="5"/>
      <c r="D131" s="138"/>
      <c r="E131" s="5"/>
      <c r="F131" s="138"/>
      <c r="G131" s="5"/>
      <c r="H131" s="138"/>
      <c r="J131" s="138"/>
      <c r="L131" s="138"/>
      <c r="N131" s="138"/>
      <c r="P131" s="138"/>
      <c r="R131" s="138"/>
      <c r="S131" s="260"/>
      <c r="T131" s="138"/>
      <c r="V131" s="138"/>
      <c r="X131" s="138"/>
      <c r="Z131" s="138"/>
      <c r="AB131" s="138"/>
      <c r="AD131" s="138"/>
      <c r="AF131" s="138"/>
      <c r="AH131" s="138"/>
      <c r="AJ131" s="138"/>
      <c r="AL131" s="138"/>
      <c r="AM131" s="236"/>
      <c r="AN131" s="138"/>
      <c r="AP131" s="271"/>
    </row>
    <row r="132" spans="1:42" x14ac:dyDescent="0.2">
      <c r="B132" s="5"/>
      <c r="C132" s="5"/>
      <c r="D132" s="138"/>
      <c r="E132" s="5"/>
      <c r="F132" s="138"/>
      <c r="G132" s="5"/>
      <c r="H132" s="138"/>
      <c r="J132" s="138"/>
      <c r="L132" s="138"/>
      <c r="N132" s="138"/>
      <c r="P132" s="138"/>
      <c r="R132" s="138"/>
      <c r="S132" s="260"/>
      <c r="T132" s="138"/>
      <c r="V132" s="138"/>
      <c r="X132" s="138"/>
      <c r="Z132" s="138"/>
      <c r="AB132" s="138"/>
      <c r="AD132" s="138"/>
      <c r="AF132" s="138"/>
      <c r="AH132" s="138"/>
      <c r="AJ132" s="138"/>
      <c r="AL132" s="138"/>
      <c r="AM132" s="236"/>
      <c r="AN132" s="138"/>
      <c r="AP132" s="271"/>
    </row>
    <row r="133" spans="1:42" x14ac:dyDescent="0.2">
      <c r="B133" s="5"/>
      <c r="C133" s="5"/>
      <c r="D133" s="138"/>
      <c r="E133" s="5"/>
      <c r="F133" s="138"/>
      <c r="G133" s="5"/>
      <c r="H133" s="138"/>
      <c r="J133" s="138"/>
      <c r="L133" s="138"/>
      <c r="N133" s="138"/>
      <c r="P133" s="138"/>
      <c r="R133" s="138"/>
      <c r="S133" s="260"/>
      <c r="T133" s="138"/>
      <c r="V133" s="138"/>
      <c r="X133" s="138"/>
      <c r="Z133" s="138"/>
      <c r="AB133" s="138"/>
      <c r="AD133" s="138"/>
      <c r="AF133" s="138"/>
      <c r="AH133" s="138"/>
      <c r="AJ133" s="138"/>
      <c r="AL133" s="138"/>
      <c r="AM133" s="236"/>
      <c r="AN133" s="138"/>
      <c r="AP133" s="271"/>
    </row>
    <row r="134" spans="1:42" x14ac:dyDescent="0.2">
      <c r="A134" s="3" t="s">
        <v>180</v>
      </c>
      <c r="B134" s="5">
        <v>26580</v>
      </c>
      <c r="C134" s="5">
        <v>28480</v>
      </c>
      <c r="D134" s="138">
        <f>(C134-B134)/B134</f>
        <v>7.1482317531978937E-2</v>
      </c>
      <c r="E134" s="5">
        <v>30370</v>
      </c>
      <c r="F134" s="138">
        <f>(E134-C134)/C134</f>
        <v>6.63623595505618E-2</v>
      </c>
      <c r="G134" s="5">
        <v>32200</v>
      </c>
      <c r="H134" s="138">
        <f>(G134-E134)/E134</f>
        <v>6.025683240039513E-2</v>
      </c>
      <c r="I134" s="5">
        <v>34150</v>
      </c>
      <c r="J134" s="138">
        <f>(I134-G134)/G134</f>
        <v>6.0559006211180127E-2</v>
      </c>
      <c r="K134" s="5">
        <v>34501</v>
      </c>
      <c r="L134" s="138">
        <f>(K134-I134)/I134</f>
        <v>1.0278184480234261E-2</v>
      </c>
      <c r="M134" s="5">
        <v>37329</v>
      </c>
      <c r="N134" s="138">
        <f>(M134-K134)/K134</f>
        <v>8.1968638590185786E-2</v>
      </c>
      <c r="O134" s="5">
        <v>38776.661189387378</v>
      </c>
      <c r="P134" s="138">
        <f>(O134-M134)/M134</f>
        <v>3.8781140383813598E-2</v>
      </c>
      <c r="Q134" s="5">
        <v>41244</v>
      </c>
      <c r="R134" s="138">
        <f>(Q134-O134)/O134</f>
        <v>6.3629480593029961E-2</v>
      </c>
      <c r="S134" s="260">
        <v>44646</v>
      </c>
      <c r="T134" s="138">
        <f>(S134-Q134)/Q134</f>
        <v>8.2484725050916502E-2</v>
      </c>
      <c r="U134" s="236">
        <v>48859.646539886962</v>
      </c>
      <c r="V134" s="138">
        <f>(U134-S134)/S134</f>
        <v>9.4379038209178034E-2</v>
      </c>
      <c r="W134" s="236">
        <v>54031</v>
      </c>
      <c r="X134" s="138">
        <f>(W134-U134)/U134</f>
        <v>0.10584099203196982</v>
      </c>
      <c r="Y134" s="236">
        <v>55902.685754736172</v>
      </c>
      <c r="Z134" s="138">
        <f>(Y134-W134)/W134</f>
        <v>3.4640960832414212E-2</v>
      </c>
      <c r="AA134" s="236">
        <v>55819.735569915632</v>
      </c>
      <c r="AB134" s="138">
        <f>(AA134-Y134)/Y134</f>
        <v>-1.4838318356379207E-3</v>
      </c>
      <c r="AC134" s="236">
        <v>53825.479768118326</v>
      </c>
      <c r="AD134" s="138">
        <f>(AC134-AA134)/AA134</f>
        <v>-3.5726715317371045E-2</v>
      </c>
      <c r="AE134" s="236">
        <v>51980</v>
      </c>
      <c r="AF134" s="138">
        <f>(AE134-AC134)/AC134</f>
        <v>-3.4286359844235573E-2</v>
      </c>
      <c r="AG134" s="236">
        <v>52443</v>
      </c>
      <c r="AH134" s="138">
        <f>(AG134-AE134)/AE134</f>
        <v>8.9072720277029623E-3</v>
      </c>
      <c r="AI134" s="236">
        <v>52245</v>
      </c>
      <c r="AJ134" s="138">
        <f t="shared" ref="AJ134:AJ136" si="52">(AI134-AG134)/AG134</f>
        <v>-3.7755277158057318E-3</v>
      </c>
      <c r="AK134" s="236">
        <v>52960</v>
      </c>
      <c r="AL134" s="138">
        <f t="shared" ref="AL134:AL136" si="53">(AK134-AI134)/AI134</f>
        <v>1.3685520145468465E-2</v>
      </c>
      <c r="AM134" s="236">
        <v>53343.940391185446</v>
      </c>
      <c r="AN134" s="138">
        <f t="shared" ref="AN134:AN136" si="54">(AM134-AK134)/AK134</f>
        <v>7.2496297429276071E-3</v>
      </c>
      <c r="AO134" s="135" t="str">
        <f t="shared" ref="AO134:AO150" si="55">IF(MAX(AL134,AN134,AJ134)&lt;0,"YES"," ")</f>
        <v xml:space="preserve"> </v>
      </c>
      <c r="AP134" s="271">
        <f t="shared" ref="AP134:AP197" si="56">AVERAGE(AN134,AL134,AJ134,AH134,AF134)</f>
        <v>-1.6438931287884539E-3</v>
      </c>
    </row>
    <row r="135" spans="1:42" x14ac:dyDescent="0.2">
      <c r="A135" s="3" t="s">
        <v>182</v>
      </c>
      <c r="B135" s="5"/>
      <c r="C135" s="5">
        <v>6105</v>
      </c>
      <c r="D135" s="138"/>
      <c r="E135" s="5">
        <v>6510</v>
      </c>
      <c r="F135" s="138">
        <f>(E135-C135)/C135</f>
        <v>6.6339066339066333E-2</v>
      </c>
      <c r="G135" s="5">
        <v>7020</v>
      </c>
      <c r="H135" s="138">
        <f>(G135-E135)/E135</f>
        <v>7.8341013824884786E-2</v>
      </c>
      <c r="I135" s="5">
        <v>8030</v>
      </c>
      <c r="J135" s="138">
        <f>(I135-G135)/G135</f>
        <v>0.14387464387464388</v>
      </c>
      <c r="K135" s="5">
        <v>8829.6786624796296</v>
      </c>
      <c r="L135" s="138">
        <f>(K135-I135)/I135</f>
        <v>9.9586383870439554E-2</v>
      </c>
      <c r="M135" s="5">
        <v>9529</v>
      </c>
      <c r="N135" s="138">
        <f>(M135-K135)/K135</f>
        <v>7.9201221726451901E-2</v>
      </c>
      <c r="O135" s="5">
        <v>10440.248035517376</v>
      </c>
      <c r="P135" s="138">
        <f>(O135-M135)/M135</f>
        <v>9.5628925964673706E-2</v>
      </c>
      <c r="Q135" s="5">
        <v>11718</v>
      </c>
      <c r="R135" s="138">
        <f>(Q135-O135)/O135</f>
        <v>0.12238712721534534</v>
      </c>
      <c r="S135" s="260">
        <v>13775</v>
      </c>
      <c r="T135" s="138">
        <f>(S135-Q135)/Q135</f>
        <v>0.17554190134835296</v>
      </c>
      <c r="U135" s="236">
        <v>16356.521265060599</v>
      </c>
      <c r="V135" s="138">
        <f>(U135-S135)/S135</f>
        <v>0.18740626243634112</v>
      </c>
      <c r="W135" s="236">
        <v>18850.452805296089</v>
      </c>
      <c r="X135" s="138">
        <f>(W135-U135)/U135</f>
        <v>0.15247322458246745</v>
      </c>
      <c r="Y135" s="236">
        <v>19584.800122193592</v>
      </c>
      <c r="Z135" s="138">
        <f>(Y135-W135)/W135</f>
        <v>3.8956481548877507E-2</v>
      </c>
      <c r="AA135" s="236">
        <v>19609</v>
      </c>
      <c r="AB135" s="138">
        <f>(AA135-Y135)/Y135</f>
        <v>1.2356458914780865E-3</v>
      </c>
      <c r="AC135" s="236">
        <v>18929</v>
      </c>
      <c r="AD135" s="138">
        <f>(AC135-AA135)/AA135</f>
        <v>-3.4677954000713961E-2</v>
      </c>
      <c r="AE135" s="236">
        <v>19368</v>
      </c>
      <c r="AF135" s="138">
        <f>(AE135-AC135)/AC135</f>
        <v>2.3191927729938191E-2</v>
      </c>
      <c r="AG135" s="236">
        <v>18896</v>
      </c>
      <c r="AH135" s="138">
        <f>(AG135-AE135)/AE135</f>
        <v>-2.4370095002065262E-2</v>
      </c>
      <c r="AI135" s="236">
        <v>18831</v>
      </c>
      <c r="AJ135" s="138">
        <f t="shared" si="52"/>
        <v>-3.4398814563928876E-3</v>
      </c>
      <c r="AK135" s="236">
        <v>18987</v>
      </c>
      <c r="AL135" s="138">
        <f t="shared" si="53"/>
        <v>8.2842122032818228E-3</v>
      </c>
      <c r="AM135" s="236">
        <v>19077.07620532548</v>
      </c>
      <c r="AN135" s="138">
        <f t="shared" si="54"/>
        <v>4.7440988742550299E-3</v>
      </c>
      <c r="AO135" s="135" t="str">
        <f t="shared" si="55"/>
        <v xml:space="preserve"> </v>
      </c>
      <c r="AP135" s="271">
        <f t="shared" si="56"/>
        <v>1.6820524698033788E-3</v>
      </c>
    </row>
    <row r="136" spans="1:42" x14ac:dyDescent="0.2">
      <c r="A136" s="3" t="s">
        <v>181</v>
      </c>
      <c r="B136" s="5">
        <v>2820</v>
      </c>
      <c r="C136" s="5">
        <v>2820</v>
      </c>
      <c r="D136" s="138">
        <f>(C136-B136)/B136</f>
        <v>0</v>
      </c>
      <c r="E136" s="5">
        <v>2870</v>
      </c>
      <c r="F136" s="138">
        <f>(E136-C136)/C136</f>
        <v>1.7730496453900711E-2</v>
      </c>
      <c r="G136" s="5">
        <v>2960</v>
      </c>
      <c r="H136" s="138">
        <f>(G136-E136)/E136</f>
        <v>3.1358885017421602E-2</v>
      </c>
      <c r="I136" s="5">
        <v>3070</v>
      </c>
      <c r="J136" s="138">
        <f>(I136-G136)/G136</f>
        <v>3.7162162162162164E-2</v>
      </c>
      <c r="K136" s="5">
        <v>2883</v>
      </c>
      <c r="L136" s="138">
        <f>(K136-I136)/I136</f>
        <v>-6.0912052117263846E-2</v>
      </c>
      <c r="M136" s="5">
        <v>2889</v>
      </c>
      <c r="N136" s="138">
        <f>(M136-K136)/K136</f>
        <v>2.0811654526534861E-3</v>
      </c>
      <c r="O136" s="5">
        <v>2859.4484824380547</v>
      </c>
      <c r="P136" s="138">
        <f>(O136-M136)/M136</f>
        <v>-1.0228978041517921E-2</v>
      </c>
      <c r="Q136" s="5">
        <v>2902</v>
      </c>
      <c r="R136" s="138">
        <f>(Q136-O136)/O136</f>
        <v>1.4881022624917001E-2</v>
      </c>
      <c r="S136" s="260">
        <v>2912</v>
      </c>
      <c r="T136" s="138">
        <f>(S136-Q136)/Q136</f>
        <v>3.4458993797381117E-3</v>
      </c>
      <c r="U136" s="236">
        <v>2979.9222138004925</v>
      </c>
      <c r="V136" s="138">
        <f>(U136-S136)/S136</f>
        <v>2.3324936057861435E-2</v>
      </c>
      <c r="W136" s="236">
        <v>3257.1977245674107</v>
      </c>
      <c r="X136" s="138">
        <f>(W136-U136)/U136</f>
        <v>9.3047902217987866E-2</v>
      </c>
      <c r="Y136" s="236">
        <v>3319.2106172047379</v>
      </c>
      <c r="Z136" s="138">
        <f>(Y136-W136)/W136</f>
        <v>1.9038725272830404E-2</v>
      </c>
      <c r="AA136" s="236">
        <v>3324.3488616906525</v>
      </c>
      <c r="AB136" s="138">
        <f>(AA136-Y136)/Y136</f>
        <v>1.5480320710234829E-3</v>
      </c>
      <c r="AC136" s="236">
        <v>3137.610529622857</v>
      </c>
      <c r="AD136" s="138">
        <f>(AC136-AA136)/AA136</f>
        <v>-5.6172904781367196E-2</v>
      </c>
      <c r="AE136" s="236">
        <v>3048</v>
      </c>
      <c r="AF136" s="138">
        <f>(AE136-AC136)/AC136</f>
        <v>-2.8560118847391895E-2</v>
      </c>
      <c r="AG136" s="236">
        <v>3165</v>
      </c>
      <c r="AH136" s="138">
        <f>(AG136-AE136)/AE136</f>
        <v>3.8385826771653545E-2</v>
      </c>
      <c r="AI136" s="236">
        <v>3094</v>
      </c>
      <c r="AJ136" s="138">
        <f t="shared" si="52"/>
        <v>-2.2432859399684046E-2</v>
      </c>
      <c r="AK136" s="236">
        <v>3106</v>
      </c>
      <c r="AL136" s="138">
        <f t="shared" si="53"/>
        <v>3.8784744667097609E-3</v>
      </c>
      <c r="AM136" s="236">
        <v>3095.0907359883145</v>
      </c>
      <c r="AN136" s="138">
        <f t="shared" si="54"/>
        <v>-3.512319385603843E-3</v>
      </c>
      <c r="AO136" s="135" t="str">
        <f t="shared" si="55"/>
        <v xml:space="preserve"> </v>
      </c>
      <c r="AP136" s="271">
        <f t="shared" si="56"/>
        <v>-2.448199278863296E-3</v>
      </c>
    </row>
    <row r="137" spans="1:42" x14ac:dyDescent="0.2">
      <c r="A137" s="3" t="s">
        <v>183</v>
      </c>
      <c r="B137" s="5"/>
      <c r="C137" s="5"/>
      <c r="D137" s="138"/>
      <c r="E137" s="5"/>
      <c r="F137" s="138"/>
      <c r="G137" s="5"/>
      <c r="H137" s="138"/>
      <c r="J137" s="138"/>
      <c r="L137" s="138"/>
      <c r="N137" s="138"/>
      <c r="P137" s="138"/>
      <c r="R137" s="138"/>
      <c r="S137" s="260"/>
      <c r="T137" s="138"/>
      <c r="V137" s="138"/>
      <c r="X137" s="138"/>
      <c r="Z137" s="138"/>
      <c r="AB137" s="138"/>
      <c r="AD137" s="138"/>
      <c r="AF137" s="138"/>
      <c r="AH137" s="138"/>
      <c r="AJ137" s="138"/>
      <c r="AL137" s="138"/>
      <c r="AM137" s="236"/>
      <c r="AN137" s="138"/>
      <c r="AP137" s="271"/>
    </row>
    <row r="138" spans="1:42" x14ac:dyDescent="0.2">
      <c r="A138" s="3" t="s">
        <v>184</v>
      </c>
      <c r="B138" s="5"/>
      <c r="C138" s="5"/>
      <c r="D138" s="138"/>
      <c r="E138" s="5"/>
      <c r="F138" s="138"/>
      <c r="G138" s="5"/>
      <c r="H138" s="138"/>
      <c r="J138" s="138"/>
      <c r="L138" s="138"/>
      <c r="N138" s="138"/>
      <c r="P138" s="138"/>
      <c r="R138" s="138"/>
      <c r="S138" s="260"/>
      <c r="T138" s="138"/>
      <c r="V138" s="138"/>
      <c r="X138" s="138"/>
      <c r="Z138" s="138"/>
      <c r="AB138" s="138"/>
      <c r="AD138" s="138"/>
      <c r="AF138" s="138"/>
      <c r="AH138" s="138"/>
      <c r="AJ138" s="138"/>
      <c r="AL138" s="138"/>
      <c r="AM138" s="236"/>
      <c r="AN138" s="138"/>
      <c r="AP138" s="271"/>
    </row>
    <row r="139" spans="1:42" x14ac:dyDescent="0.2">
      <c r="A139" s="3" t="s">
        <v>185</v>
      </c>
      <c r="B139" s="5"/>
      <c r="C139" s="5"/>
      <c r="D139" s="138"/>
      <c r="E139" s="5"/>
      <c r="F139" s="138"/>
      <c r="G139" s="5"/>
      <c r="H139" s="138"/>
      <c r="J139" s="138"/>
      <c r="L139" s="138"/>
      <c r="N139" s="138"/>
      <c r="P139" s="138"/>
      <c r="R139" s="138"/>
      <c r="S139" s="260"/>
      <c r="T139" s="138"/>
      <c r="V139" s="138"/>
      <c r="X139" s="138"/>
      <c r="Z139" s="138"/>
      <c r="AB139" s="138"/>
      <c r="AD139" s="138"/>
      <c r="AF139" s="138"/>
      <c r="AH139" s="138"/>
      <c r="AJ139" s="138"/>
      <c r="AL139" s="138"/>
      <c r="AM139" s="236"/>
      <c r="AN139" s="138"/>
      <c r="AP139" s="271"/>
    </row>
    <row r="140" spans="1:42" x14ac:dyDescent="0.2">
      <c r="A140" s="3" t="s">
        <v>186</v>
      </c>
      <c r="B140" s="5"/>
      <c r="C140" s="5"/>
      <c r="D140" s="138"/>
      <c r="E140" s="5"/>
      <c r="F140" s="138"/>
      <c r="G140" s="5"/>
      <c r="H140" s="138"/>
      <c r="J140" s="138"/>
      <c r="L140" s="138"/>
      <c r="N140" s="138"/>
      <c r="P140" s="138"/>
      <c r="R140" s="138"/>
      <c r="S140" s="260"/>
      <c r="T140" s="138"/>
      <c r="V140" s="138"/>
      <c r="X140" s="138"/>
      <c r="Z140" s="138"/>
      <c r="AB140" s="138"/>
      <c r="AD140" s="138"/>
      <c r="AF140" s="138"/>
      <c r="AH140" s="138"/>
      <c r="AJ140" s="138"/>
      <c r="AL140" s="138"/>
      <c r="AM140" s="236"/>
      <c r="AN140" s="138"/>
      <c r="AP140" s="271"/>
    </row>
    <row r="141" spans="1:42" x14ac:dyDescent="0.2">
      <c r="A141" s="3" t="s">
        <v>187</v>
      </c>
      <c r="B141" s="5"/>
      <c r="C141" s="5"/>
      <c r="D141" s="138"/>
      <c r="E141" s="5"/>
      <c r="F141" s="138"/>
      <c r="G141" s="5"/>
      <c r="H141" s="138"/>
      <c r="J141" s="138"/>
      <c r="L141" s="138"/>
      <c r="N141" s="138"/>
      <c r="P141" s="138"/>
      <c r="R141" s="138"/>
      <c r="S141" s="260"/>
      <c r="T141" s="138"/>
      <c r="V141" s="138"/>
      <c r="X141" s="138"/>
      <c r="Z141" s="138"/>
      <c r="AB141" s="138"/>
      <c r="AD141" s="138"/>
      <c r="AF141" s="138"/>
      <c r="AH141" s="138"/>
      <c r="AJ141" s="138"/>
      <c r="AL141" s="138"/>
      <c r="AM141" s="236"/>
      <c r="AN141" s="138"/>
      <c r="AP141" s="271"/>
    </row>
    <row r="142" spans="1:42" x14ac:dyDescent="0.2">
      <c r="A142" s="3" t="s">
        <v>188</v>
      </c>
      <c r="B142" s="5"/>
      <c r="C142" s="5"/>
      <c r="D142" s="138"/>
      <c r="E142" s="5"/>
      <c r="F142" s="138"/>
      <c r="G142" s="5"/>
      <c r="H142" s="138"/>
      <c r="J142" s="138"/>
      <c r="L142" s="138"/>
      <c r="N142" s="138"/>
      <c r="P142" s="138"/>
      <c r="R142" s="138"/>
      <c r="S142" s="260"/>
      <c r="T142" s="138"/>
      <c r="V142" s="138"/>
      <c r="X142" s="138"/>
      <c r="Z142" s="138"/>
      <c r="AB142" s="138"/>
      <c r="AD142" s="138"/>
      <c r="AF142" s="138"/>
      <c r="AH142" s="138"/>
      <c r="AJ142" s="138"/>
      <c r="AL142" s="138"/>
      <c r="AM142" s="236"/>
      <c r="AN142" s="138"/>
      <c r="AP142" s="271"/>
    </row>
    <row r="143" spans="1:42" x14ac:dyDescent="0.2">
      <c r="A143" s="3" t="s">
        <v>189</v>
      </c>
      <c r="B143" s="5"/>
      <c r="C143" s="5"/>
      <c r="D143" s="138"/>
      <c r="E143" s="5"/>
      <c r="F143" s="138"/>
      <c r="G143" s="5"/>
      <c r="H143" s="138"/>
      <c r="J143" s="138"/>
      <c r="L143" s="138"/>
      <c r="N143" s="138"/>
      <c r="P143" s="138"/>
      <c r="R143" s="138"/>
      <c r="S143" s="260"/>
      <c r="T143" s="138"/>
      <c r="V143" s="138"/>
      <c r="X143" s="138"/>
      <c r="Z143" s="138"/>
      <c r="AB143" s="138"/>
      <c r="AD143" s="138"/>
      <c r="AF143" s="138"/>
      <c r="AH143" s="138"/>
      <c r="AJ143" s="138"/>
      <c r="AL143" s="138"/>
      <c r="AM143" s="236"/>
      <c r="AN143" s="138"/>
      <c r="AP143" s="271"/>
    </row>
    <row r="144" spans="1:42" x14ac:dyDescent="0.2">
      <c r="A144" s="3" t="s">
        <v>190</v>
      </c>
      <c r="B144" s="5"/>
      <c r="C144" s="5"/>
      <c r="D144" s="138"/>
      <c r="E144" s="5"/>
      <c r="F144" s="138"/>
      <c r="G144" s="5"/>
      <c r="H144" s="138"/>
      <c r="J144" s="138"/>
      <c r="L144" s="138"/>
      <c r="N144" s="138"/>
      <c r="P144" s="138"/>
      <c r="R144" s="138"/>
      <c r="S144" s="260"/>
      <c r="T144" s="138"/>
      <c r="V144" s="138"/>
      <c r="X144" s="138"/>
      <c r="Z144" s="138"/>
      <c r="AB144" s="138"/>
      <c r="AD144" s="138"/>
      <c r="AF144" s="138"/>
      <c r="AH144" s="138"/>
      <c r="AJ144" s="138"/>
      <c r="AL144" s="138"/>
      <c r="AM144" s="236"/>
      <c r="AN144" s="138"/>
      <c r="AP144" s="271"/>
    </row>
    <row r="145" spans="1:42" x14ac:dyDescent="0.2">
      <c r="A145" s="3" t="s">
        <v>191</v>
      </c>
      <c r="B145" s="5"/>
      <c r="C145" s="5"/>
      <c r="D145" s="138"/>
      <c r="E145" s="5"/>
      <c r="F145" s="138"/>
      <c r="G145" s="5"/>
      <c r="H145" s="138"/>
      <c r="J145" s="138"/>
      <c r="L145" s="138"/>
      <c r="N145" s="138"/>
      <c r="P145" s="138"/>
      <c r="R145" s="138"/>
      <c r="S145" s="260"/>
      <c r="T145" s="138"/>
      <c r="V145" s="138"/>
      <c r="X145" s="138"/>
      <c r="Z145" s="138"/>
      <c r="AB145" s="138"/>
      <c r="AD145" s="138"/>
      <c r="AF145" s="138"/>
      <c r="AH145" s="138"/>
      <c r="AJ145" s="138"/>
      <c r="AL145" s="138"/>
      <c r="AM145" s="236"/>
      <c r="AN145" s="138"/>
      <c r="AP145" s="271"/>
    </row>
    <row r="146" spans="1:42" x14ac:dyDescent="0.2">
      <c r="A146" s="3" t="s">
        <v>192</v>
      </c>
      <c r="B146" s="5"/>
      <c r="C146" s="5"/>
      <c r="D146" s="138"/>
      <c r="E146" s="5"/>
      <c r="F146" s="138"/>
      <c r="G146" s="5"/>
      <c r="H146" s="138"/>
      <c r="J146" s="138"/>
      <c r="L146" s="138"/>
      <c r="N146" s="138"/>
      <c r="P146" s="138"/>
      <c r="R146" s="138"/>
      <c r="S146" s="260"/>
      <c r="T146" s="138"/>
      <c r="V146" s="138"/>
      <c r="X146" s="138"/>
      <c r="Z146" s="138"/>
      <c r="AB146" s="138"/>
      <c r="AD146" s="138"/>
      <c r="AF146" s="138"/>
      <c r="AH146" s="138"/>
      <c r="AJ146" s="138"/>
      <c r="AL146" s="138"/>
      <c r="AM146" s="236"/>
      <c r="AN146" s="138"/>
      <c r="AP146" s="271"/>
    </row>
    <row r="147" spans="1:42" x14ac:dyDescent="0.2">
      <c r="B147" s="5"/>
      <c r="C147" s="5"/>
      <c r="D147" s="138"/>
      <c r="E147" s="5"/>
      <c r="F147" s="138"/>
      <c r="G147" s="5"/>
      <c r="H147" s="138"/>
      <c r="J147" s="138"/>
      <c r="L147" s="138"/>
      <c r="N147" s="138"/>
      <c r="P147" s="138"/>
      <c r="R147" s="138"/>
      <c r="S147" s="260"/>
      <c r="T147" s="138"/>
      <c r="V147" s="138"/>
      <c r="X147" s="138"/>
      <c r="Z147" s="138"/>
      <c r="AB147" s="138"/>
      <c r="AD147" s="138"/>
      <c r="AF147" s="138"/>
      <c r="AH147" s="138"/>
      <c r="AJ147" s="138"/>
      <c r="AL147" s="138"/>
      <c r="AM147" s="236"/>
      <c r="AN147" s="138"/>
      <c r="AP147" s="271"/>
    </row>
    <row r="148" spans="1:42" x14ac:dyDescent="0.2">
      <c r="B148" s="5"/>
      <c r="C148" s="5"/>
      <c r="D148" s="138"/>
      <c r="E148" s="5"/>
      <c r="F148" s="138"/>
      <c r="G148" s="5"/>
      <c r="H148" s="138"/>
      <c r="J148" s="138"/>
      <c r="L148" s="138"/>
      <c r="N148" s="138"/>
      <c r="P148" s="138"/>
      <c r="R148" s="138"/>
      <c r="S148" s="260"/>
      <c r="T148" s="138"/>
      <c r="V148" s="138"/>
      <c r="X148" s="138"/>
      <c r="Z148" s="138"/>
      <c r="AB148" s="138"/>
      <c r="AD148" s="138"/>
      <c r="AF148" s="138"/>
      <c r="AH148" s="138"/>
      <c r="AJ148" s="138"/>
      <c r="AL148" s="138"/>
      <c r="AM148" s="236"/>
      <c r="AN148" s="138"/>
      <c r="AP148" s="271"/>
    </row>
    <row r="149" spans="1:42" x14ac:dyDescent="0.2">
      <c r="B149" s="5"/>
      <c r="C149" s="5"/>
      <c r="D149" s="138"/>
      <c r="E149" s="5"/>
      <c r="F149" s="138"/>
      <c r="G149" s="5"/>
      <c r="H149" s="138"/>
      <c r="J149" s="138"/>
      <c r="L149" s="138"/>
      <c r="N149" s="138"/>
      <c r="P149" s="138"/>
      <c r="R149" s="138"/>
      <c r="S149" s="260"/>
      <c r="T149" s="138"/>
      <c r="V149" s="138"/>
      <c r="X149" s="138"/>
      <c r="Z149" s="138"/>
      <c r="AB149" s="138"/>
      <c r="AD149" s="138"/>
      <c r="AF149" s="138"/>
      <c r="AH149" s="138"/>
      <c r="AJ149" s="138"/>
      <c r="AL149" s="138"/>
      <c r="AM149" s="236"/>
      <c r="AN149" s="138"/>
      <c r="AP149" s="271"/>
    </row>
    <row r="150" spans="1:42" x14ac:dyDescent="0.2">
      <c r="A150" s="3" t="s">
        <v>193</v>
      </c>
      <c r="B150" s="5">
        <v>6700</v>
      </c>
      <c r="C150" s="5">
        <v>6810</v>
      </c>
      <c r="D150" s="138">
        <f>(C150-B150)/B150</f>
        <v>1.6417910447761194E-2</v>
      </c>
      <c r="E150" s="5">
        <v>6860</v>
      </c>
      <c r="F150" s="138">
        <f>(E150-C150)/C150</f>
        <v>7.3421439060205578E-3</v>
      </c>
      <c r="G150" s="5">
        <v>6620</v>
      </c>
      <c r="H150" s="138">
        <f>(G150-E150)/E150</f>
        <v>-3.4985422740524783E-2</v>
      </c>
      <c r="I150" s="5">
        <v>6450</v>
      </c>
      <c r="J150" s="138">
        <f>(I150-G150)/G150</f>
        <v>-2.5679758308157101E-2</v>
      </c>
      <c r="K150" s="5">
        <v>5071</v>
      </c>
      <c r="L150" s="138">
        <f>(K150-I150)/I150</f>
        <v>-0.2137984496124031</v>
      </c>
      <c r="M150" s="5">
        <v>4743</v>
      </c>
      <c r="N150" s="138">
        <f>(M150-K150)/K150</f>
        <v>-6.4681522382173146E-2</v>
      </c>
      <c r="O150" s="5">
        <v>4695.384930791939</v>
      </c>
      <c r="P150" s="138">
        <f>(O150-M150)/M150</f>
        <v>-1.0039019440873067E-2</v>
      </c>
      <c r="Q150" s="5">
        <v>4687</v>
      </c>
      <c r="R150" s="138">
        <f>(Q150-O150)/O150</f>
        <v>-1.7857813396621373E-3</v>
      </c>
      <c r="S150" s="260">
        <v>4673</v>
      </c>
      <c r="T150" s="138">
        <f>(S150-Q150)/Q150</f>
        <v>-2.9869852784296992E-3</v>
      </c>
      <c r="U150" s="236">
        <v>4628.8950549798319</v>
      </c>
      <c r="V150" s="138">
        <f>(U150-S150)/S150</f>
        <v>-9.4382505928029287E-3</v>
      </c>
      <c r="W150" s="236">
        <v>4399</v>
      </c>
      <c r="X150" s="138">
        <f t="shared" ref="X150:X160" si="57">(W150-U150)/U150</f>
        <v>-4.9665212161703151E-2</v>
      </c>
      <c r="Y150" s="236">
        <v>4376.7474044153832</v>
      </c>
      <c r="Z150" s="138">
        <f>(Y150-W150)/W150</f>
        <v>-5.058557759630997E-3</v>
      </c>
      <c r="AA150" s="236">
        <v>4401.2197521808166</v>
      </c>
      <c r="AB150" s="138">
        <f>(AA150-Y150)/Y150</f>
        <v>5.5914462280242608E-3</v>
      </c>
      <c r="AC150" s="236">
        <v>4474.1632675059973</v>
      </c>
      <c r="AD150" s="138">
        <f>(AC150-AA150)/AA150</f>
        <v>1.657347722504357E-2</v>
      </c>
      <c r="AE150" s="236">
        <v>4772</v>
      </c>
      <c r="AF150" s="138">
        <f>(AE150-AC150)/AC150</f>
        <v>6.6568141278407988E-2</v>
      </c>
      <c r="AG150" s="236">
        <v>4601</v>
      </c>
      <c r="AH150" s="138">
        <f>(AG150-AE150)/AE150</f>
        <v>-3.5834031852472754E-2</v>
      </c>
      <c r="AI150" s="236">
        <v>4679</v>
      </c>
      <c r="AJ150" s="138">
        <f>(AI150-AG150)/AG150</f>
        <v>1.6952836339926104E-2</v>
      </c>
      <c r="AK150" s="236">
        <v>4662</v>
      </c>
      <c r="AL150" s="138">
        <f>(AK150-AI150)/AI150</f>
        <v>-3.6332549690104724E-3</v>
      </c>
      <c r="AM150" s="236">
        <v>4584.1322201190815</v>
      </c>
      <c r="AN150" s="138">
        <f t="shared" ref="AN150" si="58">(AM150-AK150)/AK150</f>
        <v>-1.6702655487112514E-2</v>
      </c>
      <c r="AO150" s="135" t="str">
        <f t="shared" si="55"/>
        <v xml:space="preserve"> </v>
      </c>
      <c r="AP150" s="271">
        <f t="shared" si="56"/>
        <v>5.4702070619476713E-3</v>
      </c>
    </row>
    <row r="151" spans="1:42" x14ac:dyDescent="0.2">
      <c r="A151" s="3" t="s">
        <v>194</v>
      </c>
      <c r="B151" s="5"/>
      <c r="C151" s="5"/>
      <c r="D151" s="138"/>
      <c r="E151" s="5"/>
      <c r="F151" s="138"/>
      <c r="G151" s="5"/>
      <c r="H151" s="138"/>
      <c r="J151" s="138"/>
      <c r="L151" s="138"/>
      <c r="N151" s="138"/>
      <c r="P151" s="138"/>
      <c r="R151" s="138"/>
      <c r="S151" s="260"/>
      <c r="T151" s="138"/>
      <c r="V151" s="138"/>
      <c r="X151" s="138"/>
      <c r="Z151" s="138"/>
      <c r="AB151" s="138"/>
      <c r="AD151" s="138"/>
      <c r="AF151" s="138"/>
      <c r="AH151" s="138"/>
      <c r="AJ151" s="138"/>
      <c r="AL151" s="138"/>
      <c r="AM151" s="236"/>
      <c r="AN151" s="138"/>
      <c r="AP151" s="271"/>
    </row>
    <row r="152" spans="1:42" x14ac:dyDescent="0.2">
      <c r="B152" s="5"/>
      <c r="C152" s="5"/>
      <c r="D152" s="138"/>
      <c r="E152" s="5"/>
      <c r="F152" s="138"/>
      <c r="G152" s="5"/>
      <c r="H152" s="138"/>
      <c r="J152" s="138"/>
      <c r="L152" s="138"/>
      <c r="N152" s="138"/>
      <c r="P152" s="138"/>
      <c r="R152" s="138"/>
      <c r="S152" s="260"/>
      <c r="T152" s="138"/>
      <c r="V152" s="138"/>
      <c r="X152" s="138"/>
      <c r="Z152" s="138"/>
      <c r="AB152" s="138"/>
      <c r="AD152" s="138"/>
      <c r="AF152" s="138"/>
      <c r="AH152" s="138"/>
      <c r="AJ152" s="138"/>
      <c r="AL152" s="138"/>
      <c r="AM152" s="236"/>
      <c r="AN152" s="138"/>
      <c r="AP152" s="271"/>
    </row>
    <row r="153" spans="1:42" x14ac:dyDescent="0.2">
      <c r="A153" s="3" t="s">
        <v>195</v>
      </c>
      <c r="B153" s="5">
        <v>23050</v>
      </c>
      <c r="C153" s="5">
        <v>25240</v>
      </c>
      <c r="D153" s="138">
        <f>(C153-B153)/B153</f>
        <v>9.501084598698481E-2</v>
      </c>
      <c r="E153" s="5">
        <v>27610</v>
      </c>
      <c r="F153" s="138">
        <f t="shared" ref="F153:F160" si="59">(E153-C153)/C153</f>
        <v>9.3898573692551501E-2</v>
      </c>
      <c r="G153" s="5">
        <v>29730</v>
      </c>
      <c r="H153" s="138">
        <f t="shared" ref="H153:H160" si="60">(G153-E153)/E153</f>
        <v>7.6783773994929375E-2</v>
      </c>
      <c r="I153" s="5">
        <v>33550</v>
      </c>
      <c r="J153" s="138">
        <f t="shared" ref="J153:J160" si="61">(I153-G153)/G153</f>
        <v>0.12848974100235452</v>
      </c>
      <c r="K153" s="5">
        <v>32485</v>
      </c>
      <c r="L153" s="138">
        <f t="shared" ref="L153:L160" si="62">(K153-I153)/I153</f>
        <v>-3.1743666169895678E-2</v>
      </c>
      <c r="M153" s="5">
        <v>34384</v>
      </c>
      <c r="N153" s="138">
        <f t="shared" ref="N153:P160" si="63">(M153-K153)/K153</f>
        <v>5.8457749730644916E-2</v>
      </c>
      <c r="O153" s="5">
        <v>35038.910890796484</v>
      </c>
      <c r="P153" s="138">
        <f t="shared" si="63"/>
        <v>1.9046966344709277E-2</v>
      </c>
      <c r="Q153" s="5">
        <v>36651</v>
      </c>
      <c r="R153" s="138">
        <f t="shared" ref="R153:R160" si="64">(Q153-O153)/O153</f>
        <v>4.600853931298865E-2</v>
      </c>
      <c r="S153" s="260">
        <v>38181</v>
      </c>
      <c r="T153" s="138">
        <f t="shared" ref="T153:T160" si="65">(S153-Q153)/Q153</f>
        <v>4.1745109273962508E-2</v>
      </c>
      <c r="U153" s="236">
        <v>41301.65923620676</v>
      </c>
      <c r="V153" s="138">
        <f t="shared" ref="V153:V160" si="66">(U153-S153)/S153</f>
        <v>8.1733302852381035E-2</v>
      </c>
      <c r="W153" s="236">
        <v>44795</v>
      </c>
      <c r="X153" s="138">
        <f t="shared" si="57"/>
        <v>8.4581124061253968E-2</v>
      </c>
      <c r="Y153" s="236">
        <v>46308.470384780776</v>
      </c>
      <c r="Z153" s="138">
        <f t="shared" ref="Z153:Z160" si="67">(Y153-W153)/W153</f>
        <v>3.3786591913846989E-2</v>
      </c>
      <c r="AA153" s="236">
        <v>47369.545451899045</v>
      </c>
      <c r="AB153" s="138">
        <f t="shared" ref="AB153:AB160" si="68">(AA153-Y153)/Y153</f>
        <v>2.2913196188552792E-2</v>
      </c>
      <c r="AC153" s="236">
        <v>46359.831565549655</v>
      </c>
      <c r="AD153" s="138">
        <f t="shared" ref="AD153:AF160" si="69">(AC153-AA153)/AA153</f>
        <v>-2.1315676068175356E-2</v>
      </c>
      <c r="AE153" s="236">
        <v>43946</v>
      </c>
      <c r="AF153" s="138">
        <f t="shared" si="69"/>
        <v>-5.2067306632394929E-2</v>
      </c>
      <c r="AG153" s="236">
        <v>44513</v>
      </c>
      <c r="AH153" s="138">
        <f t="shared" ref="AH153:AH160" si="70">(AG153-AE153)/AE153</f>
        <v>1.2902198152277795E-2</v>
      </c>
      <c r="AI153" s="236">
        <v>44292</v>
      </c>
      <c r="AJ153" s="138">
        <f t="shared" ref="AJ153:AJ160" si="71">(AI153-AG153)/AG153</f>
        <v>-4.9648417316289625E-3</v>
      </c>
      <c r="AK153" s="236">
        <v>44749</v>
      </c>
      <c r="AL153" s="138">
        <f t="shared" ref="AL153:AL160" si="72">(AK153-AI153)/AI153</f>
        <v>1.0317890363948343E-2</v>
      </c>
      <c r="AM153" s="236">
        <v>45455.522591000881</v>
      </c>
      <c r="AN153" s="138">
        <f t="shared" ref="AN153:AN160" si="73">(AM153-AK153)/AK153</f>
        <v>1.5788567141184859E-2</v>
      </c>
      <c r="AO153" s="135" t="str">
        <f t="shared" ref="AO153:AO201" si="74">IF(MAX(AL153,AN153,AJ153)&lt;0,"YES"," ")</f>
        <v xml:space="preserve"> </v>
      </c>
      <c r="AP153" s="271">
        <f t="shared" si="56"/>
        <v>-3.6046985413225791E-3</v>
      </c>
    </row>
    <row r="154" spans="1:42" x14ac:dyDescent="0.2">
      <c r="A154" s="3" t="s">
        <v>197</v>
      </c>
      <c r="B154" s="5"/>
      <c r="C154" s="5">
        <v>915</v>
      </c>
      <c r="D154" s="138"/>
      <c r="E154" s="5">
        <v>990</v>
      </c>
      <c r="F154" s="138">
        <f t="shared" si="59"/>
        <v>8.1967213114754092E-2</v>
      </c>
      <c r="G154" s="5">
        <v>1100</v>
      </c>
      <c r="H154" s="138">
        <f t="shared" si="60"/>
        <v>0.1111111111111111</v>
      </c>
      <c r="I154" s="5">
        <v>1150</v>
      </c>
      <c r="J154" s="138">
        <f t="shared" si="61"/>
        <v>4.5454545454545456E-2</v>
      </c>
      <c r="K154" s="5">
        <v>1164.6612515882691</v>
      </c>
      <c r="L154" s="138">
        <f t="shared" si="62"/>
        <v>1.2748914424581847E-2</v>
      </c>
      <c r="M154" s="5">
        <v>1164</v>
      </c>
      <c r="N154" s="138">
        <f t="shared" si="63"/>
        <v>-5.6776301896140503E-4</v>
      </c>
      <c r="O154" s="5">
        <v>1171.3554464562724</v>
      </c>
      <c r="P154" s="138">
        <f t="shared" si="63"/>
        <v>6.3191120758353736E-3</v>
      </c>
      <c r="Q154" s="5">
        <v>1169</v>
      </c>
      <c r="R154" s="138">
        <f t="shared" si="64"/>
        <v>-2.0108725010827069E-3</v>
      </c>
      <c r="S154" s="260">
        <v>1211</v>
      </c>
      <c r="T154" s="138">
        <f t="shared" si="65"/>
        <v>3.5928143712574849E-2</v>
      </c>
      <c r="U154" s="236">
        <v>1383.4989939521795</v>
      </c>
      <c r="V154" s="138">
        <f t="shared" si="66"/>
        <v>0.14244343018346778</v>
      </c>
      <c r="W154" s="236">
        <v>1435.2171814759911</v>
      </c>
      <c r="X154" s="138">
        <f t="shared" si="57"/>
        <v>3.7382164894873227E-2</v>
      </c>
      <c r="Y154" s="236">
        <v>1503.0990204284908</v>
      </c>
      <c r="Z154" s="138">
        <f t="shared" si="67"/>
        <v>4.7297259138640878E-2</v>
      </c>
      <c r="AA154" s="236">
        <v>1521.2456069397963</v>
      </c>
      <c r="AB154" s="138">
        <f t="shared" si="68"/>
        <v>1.2072781809233307E-2</v>
      </c>
      <c r="AC154" s="236">
        <v>1391.7844769922581</v>
      </c>
      <c r="AD154" s="138">
        <f t="shared" si="69"/>
        <v>-8.51020567336052E-2</v>
      </c>
      <c r="AE154" s="236">
        <v>1442</v>
      </c>
      <c r="AF154" s="138">
        <f t="shared" si="69"/>
        <v>3.607995622731841E-2</v>
      </c>
      <c r="AG154" s="236">
        <v>1331</v>
      </c>
      <c r="AH154" s="138">
        <f t="shared" si="70"/>
        <v>-7.6976421636615805E-2</v>
      </c>
      <c r="AI154" s="236">
        <v>1353</v>
      </c>
      <c r="AJ154" s="138">
        <f t="shared" si="71"/>
        <v>1.6528925619834711E-2</v>
      </c>
      <c r="AK154" s="236">
        <v>1342</v>
      </c>
      <c r="AL154" s="138">
        <f t="shared" si="72"/>
        <v>-8.130081300813009E-3</v>
      </c>
      <c r="AM154" s="236">
        <v>1426.1388899038545</v>
      </c>
      <c r="AN154" s="138">
        <f t="shared" si="73"/>
        <v>6.269663927261887E-2</v>
      </c>
      <c r="AO154" s="135" t="str">
        <f t="shared" si="74"/>
        <v xml:space="preserve"> </v>
      </c>
      <c r="AP154" s="271">
        <f t="shared" si="56"/>
        <v>6.0398036364686354E-3</v>
      </c>
    </row>
    <row r="155" spans="1:42" x14ac:dyDescent="0.2">
      <c r="A155" s="3" t="s">
        <v>198</v>
      </c>
      <c r="B155" s="5"/>
      <c r="C155" s="5">
        <v>1448</v>
      </c>
      <c r="D155" s="138"/>
      <c r="E155" s="5">
        <v>1570</v>
      </c>
      <c r="F155" s="138">
        <f t="shared" si="59"/>
        <v>8.4254143646408847E-2</v>
      </c>
      <c r="G155" s="5">
        <v>1600</v>
      </c>
      <c r="H155" s="138">
        <f t="shared" si="60"/>
        <v>1.9108280254777069E-2</v>
      </c>
      <c r="I155" s="5">
        <v>1560</v>
      </c>
      <c r="J155" s="138">
        <f t="shared" si="61"/>
        <v>-2.5000000000000001E-2</v>
      </c>
      <c r="K155" s="5">
        <v>1149.645761513211</v>
      </c>
      <c r="L155" s="138">
        <f t="shared" si="62"/>
        <v>-0.2630475887735827</v>
      </c>
      <c r="M155" s="5">
        <v>1104</v>
      </c>
      <c r="N155" s="138">
        <f t="shared" si="63"/>
        <v>-3.9704196754598735E-2</v>
      </c>
      <c r="O155" s="5">
        <v>1089.1909043273511</v>
      </c>
      <c r="P155" s="138">
        <f t="shared" si="63"/>
        <v>-1.3414035935370414E-2</v>
      </c>
      <c r="Q155" s="5">
        <v>1079</v>
      </c>
      <c r="R155" s="138">
        <f t="shared" si="64"/>
        <v>-9.356398668830819E-3</v>
      </c>
      <c r="S155" s="260">
        <v>981</v>
      </c>
      <c r="T155" s="138">
        <f t="shared" si="65"/>
        <v>-9.0824837812789619E-2</v>
      </c>
      <c r="U155" s="236">
        <v>1032</v>
      </c>
      <c r="V155" s="138">
        <f t="shared" si="66"/>
        <v>5.1987767584097858E-2</v>
      </c>
      <c r="W155" s="236">
        <v>1025.3502183178375</v>
      </c>
      <c r="X155" s="138">
        <f t="shared" si="57"/>
        <v>-6.4435869013202366E-3</v>
      </c>
      <c r="Y155" s="236">
        <v>1059.1257315428079</v>
      </c>
      <c r="Z155" s="138">
        <f t="shared" si="67"/>
        <v>3.2940465239654014E-2</v>
      </c>
      <c r="AA155" s="236">
        <v>1023.7053453413603</v>
      </c>
      <c r="AB155" s="138">
        <f t="shared" si="68"/>
        <v>-3.3443041884981338E-2</v>
      </c>
      <c r="AC155" s="236">
        <v>880.01737857941498</v>
      </c>
      <c r="AD155" s="138">
        <f t="shared" si="69"/>
        <v>-0.14036066863950167</v>
      </c>
      <c r="AE155" s="236">
        <v>893</v>
      </c>
      <c r="AF155" s="138">
        <f t="shared" si="69"/>
        <v>1.4752687545264693E-2</v>
      </c>
      <c r="AG155" s="236">
        <v>979</v>
      </c>
      <c r="AH155" s="138">
        <f t="shared" si="70"/>
        <v>9.6304591265397532E-2</v>
      </c>
      <c r="AI155" s="236">
        <v>1011</v>
      </c>
      <c r="AJ155" s="138">
        <f t="shared" si="71"/>
        <v>3.268641470888662E-2</v>
      </c>
      <c r="AK155" s="236">
        <v>966</v>
      </c>
      <c r="AL155" s="138">
        <f t="shared" si="72"/>
        <v>-4.4510385756676561E-2</v>
      </c>
      <c r="AM155" s="236">
        <v>974.87938718678151</v>
      </c>
      <c r="AN155" s="138">
        <f t="shared" si="73"/>
        <v>9.1919122016371774E-3</v>
      </c>
      <c r="AO155" s="135" t="str">
        <f t="shared" si="74"/>
        <v xml:space="preserve"> </v>
      </c>
      <c r="AP155" s="271">
        <f t="shared" si="56"/>
        <v>2.1685043992901894E-2</v>
      </c>
    </row>
    <row r="156" spans="1:42" x14ac:dyDescent="0.2">
      <c r="A156" s="3" t="s">
        <v>196</v>
      </c>
      <c r="B156" s="5">
        <v>360</v>
      </c>
      <c r="C156" s="5">
        <v>380</v>
      </c>
      <c r="D156" s="138">
        <f>(C156-B156)/B156</f>
        <v>5.5555555555555552E-2</v>
      </c>
      <c r="E156" s="5">
        <v>400</v>
      </c>
      <c r="F156" s="138">
        <f>(E156-C156)/C156</f>
        <v>5.2631578947368418E-2</v>
      </c>
      <c r="G156" s="5">
        <v>390</v>
      </c>
      <c r="H156" s="138">
        <f>(G156-E156)/E156</f>
        <v>-2.5000000000000001E-2</v>
      </c>
      <c r="I156" s="5">
        <v>450</v>
      </c>
      <c r="J156" s="138">
        <f>(I156-G156)/G156</f>
        <v>0.15384615384615385</v>
      </c>
      <c r="K156" s="5">
        <v>318</v>
      </c>
      <c r="L156" s="138">
        <f>(K156-I156)/I156</f>
        <v>-0.29333333333333333</v>
      </c>
      <c r="M156" s="5">
        <v>334</v>
      </c>
      <c r="N156" s="138">
        <f>(M156-K156)/K156</f>
        <v>5.0314465408805034E-2</v>
      </c>
      <c r="O156" s="5">
        <v>319.53079525023685</v>
      </c>
      <c r="P156" s="138">
        <f>(O156-M156)/M156</f>
        <v>-4.3320972304680093E-2</v>
      </c>
      <c r="Q156" s="5">
        <v>314</v>
      </c>
      <c r="R156" s="138">
        <f>(Q156-O156)/O156</f>
        <v>-1.7309114903636975E-2</v>
      </c>
      <c r="S156" s="260">
        <v>316</v>
      </c>
      <c r="T156" s="138">
        <f>(S156-Q156)/Q156</f>
        <v>6.369426751592357E-3</v>
      </c>
      <c r="U156" s="236">
        <v>312</v>
      </c>
      <c r="V156" s="138">
        <f>(U156-S156)/S156</f>
        <v>-1.2658227848101266E-2</v>
      </c>
      <c r="W156" s="236">
        <v>313.06547598860845</v>
      </c>
      <c r="X156" s="138">
        <f>(W156-U156)/U156</f>
        <v>3.4149871429758169E-3</v>
      </c>
      <c r="Y156" s="236">
        <v>322.43024314685681</v>
      </c>
      <c r="Z156" s="138">
        <f>(Y156-W156)/W156</f>
        <v>2.9913126411259452E-2</v>
      </c>
      <c r="AA156" s="236">
        <v>332.4161578812944</v>
      </c>
      <c r="AB156" s="138">
        <f>(AA156-Y156)/Y156</f>
        <v>3.0970775684616272E-2</v>
      </c>
      <c r="AC156" s="236">
        <v>316.04515619853919</v>
      </c>
      <c r="AD156" s="138">
        <f>(AC156-AA156)/AA156</f>
        <v>-4.9248513631522335E-2</v>
      </c>
      <c r="AE156" s="236">
        <v>294</v>
      </c>
      <c r="AF156" s="138">
        <f>(AE156-AC156)/AC156</f>
        <v>-6.9753184841378962E-2</v>
      </c>
      <c r="AG156" s="236">
        <v>282</v>
      </c>
      <c r="AH156" s="138">
        <f>(AG156-AE156)/AE156</f>
        <v>-4.0816326530612242E-2</v>
      </c>
      <c r="AI156" s="236">
        <v>271</v>
      </c>
      <c r="AJ156" s="138">
        <f t="shared" si="71"/>
        <v>-3.9007092198581561E-2</v>
      </c>
      <c r="AK156" s="236">
        <v>259</v>
      </c>
      <c r="AL156" s="138">
        <f t="shared" si="72"/>
        <v>-4.4280442804428041E-2</v>
      </c>
      <c r="AM156" s="236">
        <v>244.53053676241944</v>
      </c>
      <c r="AN156" s="138">
        <f t="shared" si="73"/>
        <v>-5.5866653426951948E-2</v>
      </c>
      <c r="AO156" s="135" t="str">
        <f t="shared" si="74"/>
        <v>YES</v>
      </c>
      <c r="AP156" s="271">
        <f t="shared" si="56"/>
        <v>-4.9944739960390547E-2</v>
      </c>
    </row>
    <row r="157" spans="1:42" x14ac:dyDescent="0.2">
      <c r="A157" s="3" t="s">
        <v>199</v>
      </c>
      <c r="B157" s="5"/>
      <c r="C157" s="5">
        <v>124</v>
      </c>
      <c r="D157" s="138"/>
      <c r="E157" s="5">
        <v>130</v>
      </c>
      <c r="F157" s="138">
        <f t="shared" si="59"/>
        <v>4.8387096774193547E-2</v>
      </c>
      <c r="G157" s="5">
        <v>140</v>
      </c>
      <c r="H157" s="138">
        <f t="shared" si="60"/>
        <v>7.6923076923076927E-2</v>
      </c>
      <c r="I157" s="5">
        <v>130</v>
      </c>
      <c r="J157" s="138">
        <f t="shared" si="61"/>
        <v>-7.1428571428571425E-2</v>
      </c>
      <c r="K157" s="5">
        <v>123.46271619888705</v>
      </c>
      <c r="L157" s="138">
        <f t="shared" si="62"/>
        <v>-5.0286798470099606E-2</v>
      </c>
      <c r="M157" s="5">
        <v>123</v>
      </c>
      <c r="N157" s="138">
        <f t="shared" si="63"/>
        <v>-3.7478213110236297E-3</v>
      </c>
      <c r="O157" s="5">
        <v>121.77259719500117</v>
      </c>
      <c r="P157" s="138">
        <f t="shared" si="63"/>
        <v>-9.9788845934864357E-3</v>
      </c>
      <c r="Q157" s="5">
        <v>135</v>
      </c>
      <c r="R157" s="138">
        <f t="shared" si="64"/>
        <v>0.10862380461358694</v>
      </c>
      <c r="S157" s="260">
        <v>128</v>
      </c>
      <c r="T157" s="138">
        <f t="shared" si="65"/>
        <v>-5.185185185185185E-2</v>
      </c>
      <c r="U157" s="236">
        <v>124.34444986808509</v>
      </c>
      <c r="V157" s="138">
        <f t="shared" si="66"/>
        <v>-2.8558985405585213E-2</v>
      </c>
      <c r="W157" s="236">
        <v>121.95144628117737</v>
      </c>
      <c r="X157" s="138">
        <f t="shared" si="57"/>
        <v>-1.924495696789379E-2</v>
      </c>
      <c r="Y157" s="236">
        <v>139.64717306008356</v>
      </c>
      <c r="Z157" s="138">
        <f t="shared" si="67"/>
        <v>0.14510468976403967</v>
      </c>
      <c r="AA157" s="236">
        <v>137.77594870689015</v>
      </c>
      <c r="AB157" s="138">
        <f t="shared" si="68"/>
        <v>-1.3399657953607933E-2</v>
      </c>
      <c r="AC157" s="236">
        <v>135.26833821366733</v>
      </c>
      <c r="AD157" s="138">
        <f t="shared" si="69"/>
        <v>-1.8200640363998512E-2</v>
      </c>
      <c r="AE157" s="236">
        <v>129</v>
      </c>
      <c r="AF157" s="138">
        <f t="shared" si="69"/>
        <v>-4.6340025289332565E-2</v>
      </c>
      <c r="AG157" s="236">
        <v>121</v>
      </c>
      <c r="AH157" s="138">
        <f t="shared" si="70"/>
        <v>-6.2015503875968991E-2</v>
      </c>
      <c r="AI157" s="236">
        <v>125</v>
      </c>
      <c r="AJ157" s="138">
        <f t="shared" si="71"/>
        <v>3.3057851239669422E-2</v>
      </c>
      <c r="AK157" s="236">
        <v>124</v>
      </c>
      <c r="AL157" s="138">
        <f t="shared" si="72"/>
        <v>-8.0000000000000002E-3</v>
      </c>
      <c r="AM157" s="236">
        <v>132.9147076232812</v>
      </c>
      <c r="AN157" s="138">
        <f t="shared" si="73"/>
        <v>7.1892803413558082E-2</v>
      </c>
      <c r="AO157" s="135" t="str">
        <f t="shared" si="74"/>
        <v xml:space="preserve"> </v>
      </c>
      <c r="AP157" s="271">
        <f t="shared" si="56"/>
        <v>-2.280974902414812E-3</v>
      </c>
    </row>
    <row r="158" spans="1:42" x14ac:dyDescent="0.2">
      <c r="A158" s="3" t="s">
        <v>200</v>
      </c>
      <c r="B158" s="5"/>
      <c r="C158" s="5">
        <v>17260</v>
      </c>
      <c r="D158" s="138"/>
      <c r="E158" s="5">
        <v>18970</v>
      </c>
      <c r="F158" s="138">
        <f t="shared" si="59"/>
        <v>9.907300115874855E-2</v>
      </c>
      <c r="G158" s="5">
        <v>20080</v>
      </c>
      <c r="H158" s="138">
        <f t="shared" si="60"/>
        <v>5.8513442277279913E-2</v>
      </c>
      <c r="I158" s="5">
        <v>24500</v>
      </c>
      <c r="J158" s="138">
        <f t="shared" si="61"/>
        <v>0.2201195219123506</v>
      </c>
      <c r="K158" s="5">
        <v>24181.340457530881</v>
      </c>
      <c r="L158" s="138">
        <f t="shared" si="62"/>
        <v>-1.3006511937515045E-2</v>
      </c>
      <c r="M158" s="5">
        <v>26470</v>
      </c>
      <c r="N158" s="138">
        <f t="shared" si="63"/>
        <v>9.4645685440335178E-2</v>
      </c>
      <c r="O158" s="5">
        <v>27526.730609754628</v>
      </c>
      <c r="P158" s="138">
        <f t="shared" si="63"/>
        <v>3.9921821297870343E-2</v>
      </c>
      <c r="Q158" s="5">
        <v>28847</v>
      </c>
      <c r="R158" s="138">
        <f t="shared" si="64"/>
        <v>4.7963174739593273E-2</v>
      </c>
      <c r="S158" s="260">
        <v>30465</v>
      </c>
      <c r="T158" s="138">
        <f t="shared" si="65"/>
        <v>5.6089021388705931E-2</v>
      </c>
      <c r="U158" s="236">
        <v>33240.596224549212</v>
      </c>
      <c r="V158" s="138">
        <f t="shared" si="66"/>
        <v>9.1107704728350961E-2</v>
      </c>
      <c r="W158" s="236">
        <v>36644.510319636633</v>
      </c>
      <c r="X158" s="138">
        <f t="shared" si="57"/>
        <v>0.10240231769890831</v>
      </c>
      <c r="Y158" s="236">
        <v>37927.674493390899</v>
      </c>
      <c r="Z158" s="138">
        <f t="shared" si="67"/>
        <v>3.5016545795310022E-2</v>
      </c>
      <c r="AA158" s="236">
        <v>38881.503354469613</v>
      </c>
      <c r="AB158" s="138">
        <f t="shared" si="68"/>
        <v>2.5148624950494206E-2</v>
      </c>
      <c r="AC158" s="236">
        <v>38246.949096848875</v>
      </c>
      <c r="AD158" s="138">
        <f t="shared" si="69"/>
        <v>-1.6320208913624533E-2</v>
      </c>
      <c r="AE158" s="236">
        <v>36538</v>
      </c>
      <c r="AF158" s="138">
        <f t="shared" si="69"/>
        <v>-4.4681971691950553E-2</v>
      </c>
      <c r="AG158" s="236">
        <v>36995</v>
      </c>
      <c r="AH158" s="138">
        <f t="shared" si="70"/>
        <v>1.2507526410859927E-2</v>
      </c>
      <c r="AI158" s="236">
        <v>36593</v>
      </c>
      <c r="AJ158" s="138">
        <f t="shared" si="71"/>
        <v>-1.0866333288282201E-2</v>
      </c>
      <c r="AK158" s="236">
        <v>37030</v>
      </c>
      <c r="AL158" s="138">
        <f t="shared" si="72"/>
        <v>1.1942174732872407E-2</v>
      </c>
      <c r="AM158" s="236">
        <v>37626.303099665754</v>
      </c>
      <c r="AN158" s="138">
        <f t="shared" si="73"/>
        <v>1.6103243307203738E-2</v>
      </c>
      <c r="AO158" s="135" t="str">
        <f t="shared" si="74"/>
        <v xml:space="preserve"> </v>
      </c>
      <c r="AP158" s="271">
        <f t="shared" si="56"/>
        <v>-2.9990721058593362E-3</v>
      </c>
    </row>
    <row r="159" spans="1:42" x14ac:dyDescent="0.2">
      <c r="A159" s="3" t="s">
        <v>201</v>
      </c>
      <c r="B159" s="5"/>
      <c r="C159" s="5">
        <v>833</v>
      </c>
      <c r="D159" s="138"/>
      <c r="E159" s="5">
        <v>900</v>
      </c>
      <c r="F159" s="138">
        <f t="shared" si="59"/>
        <v>8.0432172869147653E-2</v>
      </c>
      <c r="G159" s="5">
        <v>960</v>
      </c>
      <c r="H159" s="138">
        <f t="shared" si="60"/>
        <v>6.6666666666666666E-2</v>
      </c>
      <c r="I159" s="5">
        <v>1060</v>
      </c>
      <c r="J159" s="138">
        <f t="shared" si="61"/>
        <v>0.10416666666666667</v>
      </c>
      <c r="K159" s="5">
        <v>1036.1266392141979</v>
      </c>
      <c r="L159" s="138">
        <f t="shared" si="62"/>
        <v>-2.25220384771718E-2</v>
      </c>
      <c r="M159" s="5">
        <v>864</v>
      </c>
      <c r="N159" s="138">
        <f t="shared" si="63"/>
        <v>-0.1661250977435918</v>
      </c>
      <c r="O159" s="5">
        <v>778.59610237847869</v>
      </c>
      <c r="P159" s="138">
        <f t="shared" si="63"/>
        <v>-9.884710372861262E-2</v>
      </c>
      <c r="Q159" s="5">
        <v>784</v>
      </c>
      <c r="R159" s="138">
        <f t="shared" si="64"/>
        <v>6.9405659815317874E-3</v>
      </c>
      <c r="S159" s="260">
        <v>767</v>
      </c>
      <c r="T159" s="138">
        <f t="shared" si="65"/>
        <v>-2.1683673469387755E-2</v>
      </c>
      <c r="U159" s="236">
        <v>743.70807299778835</v>
      </c>
      <c r="V159" s="138">
        <f t="shared" si="66"/>
        <v>-3.0367571058946091E-2</v>
      </c>
      <c r="W159" s="236">
        <v>787.43123583781687</v>
      </c>
      <c r="X159" s="138">
        <f t="shared" si="57"/>
        <v>5.8790760013920876E-2</v>
      </c>
      <c r="Y159" s="236">
        <v>830.55149885498224</v>
      </c>
      <c r="Z159" s="138">
        <f t="shared" si="67"/>
        <v>5.47606712239272E-2</v>
      </c>
      <c r="AA159" s="236">
        <v>850.02243273719682</v>
      </c>
      <c r="AB159" s="138">
        <f t="shared" si="68"/>
        <v>2.3443379379915232E-2</v>
      </c>
      <c r="AC159" s="236">
        <v>837.05561319865353</v>
      </c>
      <c r="AD159" s="138">
        <f t="shared" si="69"/>
        <v>-1.525467921686282E-2</v>
      </c>
      <c r="AE159" s="236">
        <v>779</v>
      </c>
      <c r="AF159" s="138">
        <f t="shared" si="69"/>
        <v>-6.9356936723480922E-2</v>
      </c>
      <c r="AG159" s="236">
        <v>771</v>
      </c>
      <c r="AH159" s="138">
        <f t="shared" si="70"/>
        <v>-1.0269576379974325E-2</v>
      </c>
      <c r="AI159" s="236">
        <v>809</v>
      </c>
      <c r="AJ159" s="138">
        <f t="shared" si="71"/>
        <v>4.9286640726329441E-2</v>
      </c>
      <c r="AK159" s="236">
        <v>822</v>
      </c>
      <c r="AL159" s="138">
        <f t="shared" si="72"/>
        <v>1.6069221260815822E-2</v>
      </c>
      <c r="AM159" s="236">
        <v>845.98415257520844</v>
      </c>
      <c r="AN159" s="138">
        <f t="shared" si="73"/>
        <v>2.9177801186384963E-2</v>
      </c>
      <c r="AO159" s="135" t="str">
        <f t="shared" si="74"/>
        <v xml:space="preserve"> </v>
      </c>
      <c r="AP159" s="271">
        <f t="shared" si="56"/>
        <v>2.9814300140149964E-3</v>
      </c>
    </row>
    <row r="160" spans="1:42" x14ac:dyDescent="0.2">
      <c r="A160" s="3" t="s">
        <v>202</v>
      </c>
      <c r="B160" s="5"/>
      <c r="C160" s="5">
        <v>2549</v>
      </c>
      <c r="D160" s="138"/>
      <c r="E160" s="5">
        <v>2760</v>
      </c>
      <c r="F160" s="138">
        <f t="shared" si="59"/>
        <v>8.2777559827383287E-2</v>
      </c>
      <c r="G160" s="5">
        <v>3280</v>
      </c>
      <c r="H160" s="138">
        <f t="shared" si="60"/>
        <v>0.18840579710144928</v>
      </c>
      <c r="I160" s="5">
        <v>3010</v>
      </c>
      <c r="J160" s="138">
        <f t="shared" si="61"/>
        <v>-8.2317073170731711E-2</v>
      </c>
      <c r="K160" s="5">
        <v>2826.7344160080652</v>
      </c>
      <c r="L160" s="138">
        <f t="shared" si="62"/>
        <v>-6.0885576077054755E-2</v>
      </c>
      <c r="M160" s="5">
        <v>2779</v>
      </c>
      <c r="N160" s="138">
        <f t="shared" si="63"/>
        <v>-1.6886770733656707E-2</v>
      </c>
      <c r="O160" s="5">
        <v>2421.8467489066129</v>
      </c>
      <c r="P160" s="138">
        <f t="shared" si="63"/>
        <v>-0.12851862219985141</v>
      </c>
      <c r="Q160" s="5">
        <v>2481</v>
      </c>
      <c r="R160" s="138">
        <f t="shared" si="64"/>
        <v>2.4424853108518496E-2</v>
      </c>
      <c r="S160" s="260">
        <v>2341</v>
      </c>
      <c r="T160" s="138">
        <f t="shared" si="65"/>
        <v>-5.6428859330914953E-2</v>
      </c>
      <c r="U160" s="236">
        <v>2606.5650595946172</v>
      </c>
      <c r="V160" s="138">
        <f t="shared" si="66"/>
        <v>0.11344086270594497</v>
      </c>
      <c r="W160" s="236">
        <v>2599.5224746969611</v>
      </c>
      <c r="X160" s="138">
        <f t="shared" si="57"/>
        <v>-2.7018642299883201E-3</v>
      </c>
      <c r="Y160" s="236">
        <v>2609.7986159418269</v>
      </c>
      <c r="Z160" s="138">
        <f t="shared" si="67"/>
        <v>3.953088055552877E-3</v>
      </c>
      <c r="AA160" s="236">
        <v>2627.9598922013943</v>
      </c>
      <c r="AB160" s="138">
        <f t="shared" si="68"/>
        <v>6.9588803322333239E-3</v>
      </c>
      <c r="AC160" s="236">
        <v>2579.6485841882391</v>
      </c>
      <c r="AD160" s="138">
        <f t="shared" si="69"/>
        <v>-1.8383578895751602E-2</v>
      </c>
      <c r="AE160" s="236">
        <v>2405</v>
      </c>
      <c r="AF160" s="138">
        <f t="shared" si="69"/>
        <v>-6.7702471281838289E-2</v>
      </c>
      <c r="AG160" s="236">
        <v>2346</v>
      </c>
      <c r="AH160" s="138">
        <f t="shared" si="70"/>
        <v>-2.4532224532224534E-2</v>
      </c>
      <c r="AI160" s="236">
        <v>2552</v>
      </c>
      <c r="AJ160" s="138">
        <f t="shared" si="71"/>
        <v>8.780903665814152E-2</v>
      </c>
      <c r="AK160" s="236">
        <v>2593</v>
      </c>
      <c r="AL160" s="138">
        <f t="shared" si="72"/>
        <v>1.6065830721003135E-2</v>
      </c>
      <c r="AM160" s="236">
        <v>2577.6854452923826</v>
      </c>
      <c r="AN160" s="138">
        <f t="shared" si="73"/>
        <v>-5.9061144263854179E-3</v>
      </c>
      <c r="AO160" s="135" t="str">
        <f t="shared" si="74"/>
        <v xml:space="preserve"> </v>
      </c>
      <c r="AP160" s="271">
        <f t="shared" si="56"/>
        <v>1.1468114277392832E-3</v>
      </c>
    </row>
    <row r="161" spans="1:42" x14ac:dyDescent="0.2">
      <c r="A161" s="3" t="s">
        <v>348</v>
      </c>
      <c r="B161" s="5"/>
      <c r="C161" s="5"/>
      <c r="D161" s="138"/>
      <c r="E161" s="5"/>
      <c r="F161" s="138"/>
      <c r="G161" s="5"/>
      <c r="H161" s="138"/>
      <c r="J161" s="138"/>
      <c r="L161" s="138"/>
      <c r="N161" s="138"/>
      <c r="P161" s="138"/>
      <c r="R161" s="138"/>
      <c r="S161" s="260"/>
      <c r="T161" s="138"/>
      <c r="V161" s="138"/>
      <c r="X161" s="138"/>
      <c r="Z161" s="138"/>
      <c r="AB161" s="138"/>
      <c r="AD161" s="138"/>
      <c r="AF161" s="138"/>
      <c r="AH161" s="138"/>
      <c r="AJ161" s="138"/>
      <c r="AL161" s="138"/>
      <c r="AM161" s="236"/>
      <c r="AN161" s="138"/>
      <c r="AP161" s="271"/>
    </row>
    <row r="162" spans="1:42" x14ac:dyDescent="0.2">
      <c r="A162" s="3" t="s">
        <v>349</v>
      </c>
      <c r="B162" s="5"/>
      <c r="C162" s="5"/>
      <c r="D162" s="138"/>
      <c r="E162" s="5"/>
      <c r="F162" s="138"/>
      <c r="G162" s="5"/>
      <c r="H162" s="138"/>
      <c r="J162" s="138"/>
      <c r="L162" s="138"/>
      <c r="N162" s="138"/>
      <c r="P162" s="138"/>
      <c r="R162" s="138"/>
      <c r="S162" s="260"/>
      <c r="T162" s="138"/>
      <c r="V162" s="138"/>
      <c r="X162" s="138"/>
      <c r="Z162" s="138"/>
      <c r="AB162" s="138"/>
      <c r="AD162" s="138"/>
      <c r="AF162" s="138"/>
      <c r="AH162" s="138"/>
      <c r="AJ162" s="138"/>
      <c r="AL162" s="138"/>
      <c r="AM162" s="236"/>
      <c r="AN162" s="138"/>
      <c r="AP162" s="271"/>
    </row>
    <row r="163" spans="1:42" x14ac:dyDescent="0.2">
      <c r="A163" s="3" t="s">
        <v>203</v>
      </c>
      <c r="B163" s="5"/>
      <c r="C163" s="5"/>
      <c r="D163" s="138"/>
      <c r="E163" s="5"/>
      <c r="F163" s="138"/>
      <c r="G163" s="5"/>
      <c r="H163" s="138"/>
      <c r="J163" s="138"/>
      <c r="L163" s="138"/>
      <c r="N163" s="138"/>
      <c r="P163" s="138"/>
      <c r="R163" s="138"/>
      <c r="S163" s="260"/>
      <c r="T163" s="138"/>
      <c r="V163" s="138"/>
      <c r="X163" s="138"/>
      <c r="Z163" s="138"/>
      <c r="AB163" s="138"/>
      <c r="AD163" s="138"/>
      <c r="AF163" s="138"/>
      <c r="AH163" s="138"/>
      <c r="AJ163" s="138"/>
      <c r="AL163" s="138"/>
      <c r="AM163" s="236"/>
      <c r="AN163" s="138"/>
      <c r="AP163" s="271"/>
    </row>
    <row r="164" spans="1:42" x14ac:dyDescent="0.2">
      <c r="A164" s="3" t="s">
        <v>352</v>
      </c>
      <c r="B164" s="5"/>
      <c r="C164" s="5"/>
      <c r="D164" s="138"/>
      <c r="E164" s="5"/>
      <c r="F164" s="138"/>
      <c r="G164" s="5"/>
      <c r="H164" s="138"/>
      <c r="J164" s="138"/>
      <c r="L164" s="138"/>
      <c r="N164" s="138"/>
      <c r="P164" s="138"/>
      <c r="R164" s="138"/>
      <c r="S164" s="260"/>
      <c r="T164" s="138"/>
      <c r="V164" s="138"/>
      <c r="X164" s="138"/>
      <c r="Z164" s="138"/>
      <c r="AB164" s="138"/>
      <c r="AD164" s="138"/>
      <c r="AF164" s="138"/>
      <c r="AH164" s="138"/>
      <c r="AJ164" s="138"/>
      <c r="AL164" s="138"/>
      <c r="AM164" s="236"/>
      <c r="AN164" s="138"/>
      <c r="AP164" s="271"/>
    </row>
    <row r="165" spans="1:42" x14ac:dyDescent="0.2">
      <c r="A165" s="3" t="s">
        <v>204</v>
      </c>
      <c r="B165" s="5"/>
      <c r="C165" s="5"/>
      <c r="D165" s="138"/>
      <c r="E165" s="5"/>
      <c r="F165" s="138"/>
      <c r="G165" s="5"/>
      <c r="H165" s="138"/>
      <c r="J165" s="138"/>
      <c r="L165" s="138"/>
      <c r="N165" s="138"/>
      <c r="P165" s="138"/>
      <c r="R165" s="138"/>
      <c r="S165" s="260"/>
      <c r="T165" s="138"/>
      <c r="V165" s="138"/>
      <c r="X165" s="138"/>
      <c r="Z165" s="138"/>
      <c r="AB165" s="138"/>
      <c r="AD165" s="138"/>
      <c r="AF165" s="138"/>
      <c r="AH165" s="138"/>
      <c r="AJ165" s="138"/>
      <c r="AL165" s="138"/>
      <c r="AM165" s="236"/>
      <c r="AN165" s="138"/>
      <c r="AP165" s="271"/>
    </row>
    <row r="166" spans="1:42" x14ac:dyDescent="0.2">
      <c r="A166" s="3" t="s">
        <v>205</v>
      </c>
      <c r="B166" s="5"/>
      <c r="C166" s="5"/>
      <c r="D166" s="138"/>
      <c r="E166" s="5"/>
      <c r="F166" s="138"/>
      <c r="G166" s="5"/>
      <c r="H166" s="138"/>
      <c r="J166" s="138"/>
      <c r="L166" s="138"/>
      <c r="N166" s="138"/>
      <c r="P166" s="138"/>
      <c r="R166" s="138"/>
      <c r="S166" s="260"/>
      <c r="T166" s="138"/>
      <c r="V166" s="138"/>
      <c r="X166" s="138"/>
      <c r="Z166" s="138"/>
      <c r="AB166" s="138"/>
      <c r="AD166" s="138"/>
      <c r="AF166" s="138"/>
      <c r="AH166" s="138"/>
      <c r="AJ166" s="138"/>
      <c r="AL166" s="138"/>
      <c r="AM166" s="236"/>
      <c r="AN166" s="138"/>
      <c r="AP166" s="271"/>
    </row>
    <row r="167" spans="1:42" x14ac:dyDescent="0.2">
      <c r="A167" s="6" t="s">
        <v>206</v>
      </c>
      <c r="B167" s="5"/>
      <c r="C167" s="5"/>
      <c r="D167" s="138"/>
      <c r="E167" s="5"/>
      <c r="F167" s="138"/>
      <c r="G167" s="5"/>
      <c r="H167" s="138"/>
      <c r="J167" s="138"/>
      <c r="L167" s="138"/>
      <c r="N167" s="138"/>
      <c r="P167" s="138"/>
      <c r="R167" s="138"/>
      <c r="S167" s="260"/>
      <c r="T167" s="138"/>
      <c r="V167" s="138"/>
      <c r="X167" s="138"/>
      <c r="Z167" s="138"/>
      <c r="AB167" s="138"/>
      <c r="AD167" s="138"/>
      <c r="AF167" s="138"/>
      <c r="AH167" s="138"/>
      <c r="AJ167" s="138"/>
      <c r="AL167" s="138"/>
      <c r="AM167" s="236"/>
      <c r="AN167" s="138"/>
      <c r="AP167" s="271"/>
    </row>
    <row r="168" spans="1:42" x14ac:dyDescent="0.2">
      <c r="A168" s="2" t="s">
        <v>350</v>
      </c>
      <c r="B168" s="5"/>
      <c r="C168" s="5"/>
      <c r="D168" s="138"/>
      <c r="E168" s="5"/>
      <c r="F168" s="138"/>
      <c r="G168" s="5"/>
      <c r="H168" s="138"/>
      <c r="J168" s="138"/>
      <c r="L168" s="138"/>
      <c r="N168" s="138"/>
      <c r="P168" s="138"/>
      <c r="R168" s="138"/>
      <c r="S168" s="260"/>
      <c r="T168" s="138"/>
      <c r="V168" s="138"/>
      <c r="X168" s="138"/>
      <c r="Z168" s="138"/>
      <c r="AB168" s="138"/>
      <c r="AD168" s="138"/>
      <c r="AF168" s="138"/>
      <c r="AH168" s="138"/>
      <c r="AJ168" s="138"/>
      <c r="AL168" s="138"/>
      <c r="AM168" s="236"/>
      <c r="AN168" s="138"/>
      <c r="AP168" s="271"/>
    </row>
    <row r="169" spans="1:42" x14ac:dyDescent="0.2">
      <c r="B169" s="5"/>
      <c r="C169" s="5"/>
      <c r="D169" s="138"/>
      <c r="E169" s="5"/>
      <c r="F169" s="138"/>
      <c r="G169" s="5"/>
      <c r="H169" s="138"/>
      <c r="J169" s="138"/>
      <c r="L169" s="138"/>
      <c r="N169" s="138"/>
      <c r="P169" s="138"/>
      <c r="R169" s="138"/>
      <c r="S169" s="260"/>
      <c r="T169" s="138"/>
      <c r="V169" s="138"/>
      <c r="X169" s="138"/>
      <c r="Z169" s="138"/>
      <c r="AB169" s="138"/>
      <c r="AD169" s="138"/>
      <c r="AF169" s="138"/>
      <c r="AH169" s="138"/>
      <c r="AJ169" s="138"/>
      <c r="AL169" s="138"/>
      <c r="AM169" s="236"/>
      <c r="AN169" s="138"/>
      <c r="AP169" s="271"/>
    </row>
    <row r="170" spans="1:42" x14ac:dyDescent="0.2">
      <c r="B170" s="5"/>
      <c r="C170" s="5"/>
      <c r="D170" s="138"/>
      <c r="E170" s="5"/>
      <c r="F170" s="138"/>
      <c r="G170" s="5"/>
      <c r="H170" s="138"/>
      <c r="J170" s="138"/>
      <c r="L170" s="138"/>
      <c r="N170" s="138"/>
      <c r="P170" s="138"/>
      <c r="R170" s="138"/>
      <c r="S170" s="260"/>
      <c r="T170" s="138"/>
      <c r="V170" s="138"/>
      <c r="X170" s="138"/>
      <c r="Z170" s="138"/>
      <c r="AB170" s="138"/>
      <c r="AD170" s="138"/>
      <c r="AF170" s="138"/>
      <c r="AH170" s="138"/>
      <c r="AJ170" s="138"/>
      <c r="AL170" s="138"/>
      <c r="AM170" s="236"/>
      <c r="AN170" s="138"/>
      <c r="AP170" s="271"/>
    </row>
    <row r="171" spans="1:42" x14ac:dyDescent="0.2">
      <c r="B171" s="5"/>
      <c r="C171" s="5"/>
      <c r="D171" s="138"/>
      <c r="E171" s="5"/>
      <c r="F171" s="138"/>
      <c r="G171" s="5"/>
      <c r="H171" s="138"/>
      <c r="J171" s="138"/>
      <c r="L171" s="138"/>
      <c r="N171" s="138"/>
      <c r="P171" s="138"/>
      <c r="R171" s="138"/>
      <c r="S171" s="260"/>
      <c r="T171" s="138"/>
      <c r="V171" s="138"/>
      <c r="X171" s="138"/>
      <c r="Z171" s="138"/>
      <c r="AB171" s="138"/>
      <c r="AD171" s="138"/>
      <c r="AF171" s="138"/>
      <c r="AH171" s="138"/>
      <c r="AJ171" s="138"/>
      <c r="AL171" s="138"/>
      <c r="AM171" s="236"/>
      <c r="AN171" s="138"/>
      <c r="AP171" s="271"/>
    </row>
    <row r="172" spans="1:42" x14ac:dyDescent="0.2">
      <c r="A172" s="3" t="s">
        <v>207</v>
      </c>
      <c r="B172" s="5">
        <v>5140</v>
      </c>
      <c r="C172" s="5">
        <v>6260</v>
      </c>
      <c r="D172" s="138">
        <f>(C172-B172)/B172</f>
        <v>0.21789883268482491</v>
      </c>
      <c r="E172" s="5">
        <v>6600</v>
      </c>
      <c r="F172" s="138">
        <f>(E172-C172)/C172</f>
        <v>5.4313099041533544E-2</v>
      </c>
      <c r="G172" s="5">
        <v>7270</v>
      </c>
      <c r="H172" s="138">
        <f>(G172-E172)/E172</f>
        <v>0.10151515151515152</v>
      </c>
      <c r="I172" s="5">
        <v>7460</v>
      </c>
      <c r="J172" s="138">
        <f>(I172-G172)/G172</f>
        <v>2.6134800550206328E-2</v>
      </c>
      <c r="K172" s="5">
        <v>6693</v>
      </c>
      <c r="L172" s="138">
        <f>(K172-I172)/I172</f>
        <v>-0.10281501340482574</v>
      </c>
      <c r="M172" s="5">
        <v>6873</v>
      </c>
      <c r="N172" s="138">
        <f>(M172-K172)/K172</f>
        <v>2.6893769610040339E-2</v>
      </c>
      <c r="O172" s="5">
        <v>6937.2500085516494</v>
      </c>
      <c r="P172" s="138">
        <f>(O172-M172)/M172</f>
        <v>9.3481752584969359E-3</v>
      </c>
      <c r="Q172" s="5">
        <v>6967</v>
      </c>
      <c r="R172" s="138">
        <f>(Q172-O172)/O172</f>
        <v>4.2884415887674953E-3</v>
      </c>
      <c r="S172" s="260">
        <v>6631</v>
      </c>
      <c r="T172" s="138">
        <f>(S172-Q172)/Q172</f>
        <v>-4.8227357542701306E-2</v>
      </c>
      <c r="U172" s="236">
        <v>6736.3651718592664</v>
      </c>
      <c r="V172" s="138">
        <f>(U172-S172)/S172</f>
        <v>1.5889786134710662E-2</v>
      </c>
      <c r="W172" s="236">
        <v>6955</v>
      </c>
      <c r="X172" s="138">
        <f>(W172-U172)/U172</f>
        <v>3.2455905011513714E-2</v>
      </c>
      <c r="Y172" s="236">
        <v>7075.3325944400331</v>
      </c>
      <c r="Z172" s="138">
        <f>(Y172-W172)/W172</f>
        <v>1.730159517469922E-2</v>
      </c>
      <c r="AA172" s="236">
        <v>7191.5645611962809</v>
      </c>
      <c r="AB172" s="138">
        <f>(AA172-Y172)/Y172</f>
        <v>1.642777427135874E-2</v>
      </c>
      <c r="AC172" s="236">
        <v>7149.2758234168823</v>
      </c>
      <c r="AD172" s="138">
        <f>(AC172-AA172)/AA172</f>
        <v>-5.8803251252970874E-3</v>
      </c>
      <c r="AE172" s="236">
        <v>6753</v>
      </c>
      <c r="AF172" s="138">
        <f>(AE172-AC172)/AC172</f>
        <v>-5.5428806106334924E-2</v>
      </c>
      <c r="AG172" s="236">
        <v>6847</v>
      </c>
      <c r="AH172" s="138">
        <f>(AG172-AE172)/AE172</f>
        <v>1.3919739375092551E-2</v>
      </c>
      <c r="AI172" s="236">
        <v>7013</v>
      </c>
      <c r="AJ172" s="138">
        <f t="shared" ref="AJ172:AJ173" si="75">(AI172-AG172)/AG172</f>
        <v>2.4244194537753762E-2</v>
      </c>
      <c r="AK172" s="236">
        <v>6882</v>
      </c>
      <c r="AL172" s="138">
        <f t="shared" ref="AL172:AL173" si="76">(AK172-AI172)/AI172</f>
        <v>-1.8679595037786968E-2</v>
      </c>
      <c r="AM172" s="236">
        <v>6714.2439856510646</v>
      </c>
      <c r="AN172" s="138">
        <f t="shared" ref="AN172:AN173" si="77">(AM172-AK172)/AK172</f>
        <v>-2.4376055557822643E-2</v>
      </c>
      <c r="AO172" s="135" t="str">
        <f t="shared" si="74"/>
        <v xml:space="preserve"> </v>
      </c>
      <c r="AP172" s="271">
        <f t="shared" si="56"/>
        <v>-1.2064104557819644E-2</v>
      </c>
    </row>
    <row r="173" spans="1:42" x14ac:dyDescent="0.2">
      <c r="A173" s="3" t="s">
        <v>208</v>
      </c>
      <c r="B173" s="5">
        <v>2510</v>
      </c>
      <c r="C173" s="5">
        <v>2790</v>
      </c>
      <c r="D173" s="138">
        <f>(C173-B173)/B173</f>
        <v>0.11155378486055777</v>
      </c>
      <c r="E173" s="5">
        <v>2720</v>
      </c>
      <c r="F173" s="138">
        <f>(E173-C173)/C173</f>
        <v>-2.5089605734767026E-2</v>
      </c>
      <c r="G173" s="5">
        <v>2630</v>
      </c>
      <c r="H173" s="138">
        <f>(G173-E173)/E173</f>
        <v>-3.3088235294117647E-2</v>
      </c>
      <c r="I173" s="5">
        <v>2820</v>
      </c>
      <c r="J173" s="138">
        <f>(I173-G173)/G173</f>
        <v>7.2243346007604556E-2</v>
      </c>
      <c r="K173" s="5">
        <v>2003</v>
      </c>
      <c r="L173" s="138">
        <f>(K173-I173)/I173</f>
        <v>-0.28971631205673759</v>
      </c>
      <c r="M173" s="5">
        <v>2144</v>
      </c>
      <c r="N173" s="138">
        <f>(M173-K173)/K173</f>
        <v>7.0394408387418866E-2</v>
      </c>
      <c r="O173" s="5">
        <v>2267.1474859920704</v>
      </c>
      <c r="P173" s="138">
        <f>(O173-M173)/M173</f>
        <v>5.7438193093316423E-2</v>
      </c>
      <c r="Q173" s="5">
        <v>2405</v>
      </c>
      <c r="R173" s="138">
        <f>(Q173-O173)/O173</f>
        <v>6.0804387389736737E-2</v>
      </c>
      <c r="S173" s="260">
        <v>2381</v>
      </c>
      <c r="T173" s="138">
        <f>(S173-Q173)/Q173</f>
        <v>-9.9792099792099798E-3</v>
      </c>
      <c r="U173" s="236">
        <v>2362.8597612495246</v>
      </c>
      <c r="V173" s="138">
        <f>(U173-S173)/S173</f>
        <v>-7.6187479002416706E-3</v>
      </c>
      <c r="W173" s="236">
        <v>2427.1815533491254</v>
      </c>
      <c r="X173" s="138">
        <f>(W173-U173)/U173</f>
        <v>2.7222010021274473E-2</v>
      </c>
      <c r="Y173" s="236">
        <v>2465.3706681446747</v>
      </c>
      <c r="Z173" s="138">
        <f>(Y173-W173)/W173</f>
        <v>1.5733934176804548E-2</v>
      </c>
      <c r="AA173" s="236">
        <v>2457.7658436856714</v>
      </c>
      <c r="AB173" s="138">
        <f>(AA173-Y173)/Y173</f>
        <v>-3.0846576367870812E-3</v>
      </c>
      <c r="AC173" s="236">
        <v>2410.6461496134903</v>
      </c>
      <c r="AD173" s="138">
        <f>(AC173-AA173)/AA173</f>
        <v>-1.9171758852959041E-2</v>
      </c>
      <c r="AE173" s="236">
        <v>1894</v>
      </c>
      <c r="AF173" s="138">
        <f>(AE173-AC173)/AC173</f>
        <v>-0.21431853434662174</v>
      </c>
      <c r="AG173" s="236">
        <v>2171</v>
      </c>
      <c r="AH173" s="138">
        <f>(AG173-AE173)/AE173</f>
        <v>0.14625131995776136</v>
      </c>
      <c r="AI173" s="236">
        <v>1936</v>
      </c>
      <c r="AJ173" s="138">
        <f t="shared" si="75"/>
        <v>-0.10824504836480885</v>
      </c>
      <c r="AK173" s="236">
        <v>1987</v>
      </c>
      <c r="AL173" s="138">
        <f t="shared" si="76"/>
        <v>2.6342975206611569E-2</v>
      </c>
      <c r="AM173" s="236">
        <v>1952.4007560106768</v>
      </c>
      <c r="AN173" s="138">
        <f t="shared" si="77"/>
        <v>-1.7412805228647816E-2</v>
      </c>
      <c r="AO173" s="135" t="str">
        <f t="shared" si="74"/>
        <v xml:space="preserve"> </v>
      </c>
      <c r="AP173" s="271">
        <f t="shared" si="56"/>
        <v>-3.3476418555141094E-2</v>
      </c>
    </row>
    <row r="174" spans="1:42" x14ac:dyDescent="0.2">
      <c r="A174" s="3" t="s">
        <v>209</v>
      </c>
      <c r="B174" s="5"/>
      <c r="C174" s="5"/>
      <c r="D174" s="138"/>
      <c r="E174" s="5"/>
      <c r="F174" s="138"/>
      <c r="G174" s="5"/>
      <c r="H174" s="138"/>
      <c r="J174" s="138"/>
      <c r="L174" s="138"/>
      <c r="N174" s="138"/>
      <c r="P174" s="138"/>
      <c r="R174" s="138"/>
      <c r="S174" s="260"/>
      <c r="T174" s="138"/>
      <c r="V174" s="138"/>
      <c r="X174" s="138"/>
      <c r="Z174" s="138"/>
      <c r="AB174" s="138"/>
      <c r="AD174" s="138"/>
      <c r="AF174" s="138"/>
      <c r="AH174" s="138"/>
      <c r="AJ174" s="138"/>
      <c r="AL174" s="138"/>
      <c r="AM174" s="236"/>
      <c r="AN174" s="138"/>
      <c r="AP174" s="271"/>
    </row>
    <row r="175" spans="1:42" x14ac:dyDescent="0.2">
      <c r="B175" s="5"/>
      <c r="C175" s="5"/>
      <c r="D175" s="138"/>
      <c r="E175" s="5"/>
      <c r="F175" s="138"/>
      <c r="G175" s="5"/>
      <c r="H175" s="138"/>
      <c r="J175" s="138"/>
      <c r="L175" s="138"/>
      <c r="N175" s="138"/>
      <c r="P175" s="138"/>
      <c r="R175" s="138"/>
      <c r="S175" s="260"/>
      <c r="T175" s="138"/>
      <c r="V175" s="138"/>
      <c r="X175" s="138"/>
      <c r="Z175" s="138"/>
      <c r="AB175" s="138"/>
      <c r="AD175" s="138"/>
      <c r="AF175" s="138"/>
      <c r="AH175" s="138"/>
      <c r="AJ175" s="138"/>
      <c r="AL175" s="138"/>
      <c r="AM175" s="236"/>
      <c r="AN175" s="138"/>
      <c r="AP175" s="271"/>
    </row>
    <row r="176" spans="1:42" x14ac:dyDescent="0.2">
      <c r="B176" s="5"/>
      <c r="C176" s="5"/>
      <c r="D176" s="138"/>
      <c r="E176" s="5"/>
      <c r="F176" s="138"/>
      <c r="G176" s="5"/>
      <c r="H176" s="138"/>
      <c r="J176" s="138"/>
      <c r="L176" s="138"/>
      <c r="N176" s="138"/>
      <c r="P176" s="138"/>
      <c r="R176" s="138"/>
      <c r="S176" s="260"/>
      <c r="T176" s="138"/>
      <c r="V176" s="138"/>
      <c r="X176" s="138"/>
      <c r="Z176" s="138"/>
      <c r="AB176" s="138"/>
      <c r="AD176" s="138"/>
      <c r="AF176" s="138"/>
      <c r="AH176" s="138"/>
      <c r="AJ176" s="138"/>
      <c r="AL176" s="138"/>
      <c r="AM176" s="236"/>
      <c r="AN176" s="138"/>
      <c r="AP176" s="271"/>
    </row>
    <row r="177" spans="1:42" x14ac:dyDescent="0.2">
      <c r="B177" s="5"/>
      <c r="C177" s="5"/>
      <c r="D177" s="138"/>
      <c r="E177" s="5"/>
      <c r="F177" s="138"/>
      <c r="G177" s="5"/>
      <c r="H177" s="138"/>
      <c r="J177" s="138"/>
      <c r="L177" s="138"/>
      <c r="N177" s="138"/>
      <c r="P177" s="138"/>
      <c r="R177" s="138"/>
      <c r="S177" s="260"/>
      <c r="T177" s="138"/>
      <c r="V177" s="138"/>
      <c r="X177" s="138"/>
      <c r="Z177" s="138"/>
      <c r="AB177" s="138"/>
      <c r="AD177" s="138"/>
      <c r="AF177" s="138"/>
      <c r="AH177" s="138"/>
      <c r="AJ177" s="138"/>
      <c r="AL177" s="138"/>
      <c r="AM177" s="236"/>
      <c r="AN177" s="138"/>
      <c r="AP177" s="271"/>
    </row>
    <row r="178" spans="1:42" x14ac:dyDescent="0.2">
      <c r="A178" s="3" t="s">
        <v>210</v>
      </c>
      <c r="B178" s="5">
        <v>3200</v>
      </c>
      <c r="C178" s="5">
        <v>3320</v>
      </c>
      <c r="D178" s="138">
        <f>(C178-B178)/B178</f>
        <v>3.7499999999999999E-2</v>
      </c>
      <c r="E178" s="5">
        <v>3520</v>
      </c>
      <c r="F178" s="138">
        <f>(E178-C178)/C178</f>
        <v>6.0240963855421686E-2</v>
      </c>
      <c r="G178" s="5">
        <v>3670</v>
      </c>
      <c r="H178" s="138">
        <f>(G178-E178)/E178</f>
        <v>4.261363636363636E-2</v>
      </c>
      <c r="I178" s="5">
        <v>3740</v>
      </c>
      <c r="J178" s="138">
        <f>(I178-G178)/G178</f>
        <v>1.9073569482288829E-2</v>
      </c>
      <c r="K178" s="5">
        <v>3399</v>
      </c>
      <c r="L178" s="138">
        <f>(K178-I178)/I178</f>
        <v>-9.1176470588235289E-2</v>
      </c>
      <c r="M178" s="5">
        <v>3714</v>
      </c>
      <c r="N178" s="138">
        <f>(M178-K178)/K178</f>
        <v>9.2674315975286845E-2</v>
      </c>
      <c r="O178" s="5">
        <v>3638.86441763315</v>
      </c>
      <c r="P178" s="138">
        <f>(O178-M178)/M178</f>
        <v>-2.0230366819291877E-2</v>
      </c>
      <c r="Q178" s="5">
        <v>3736</v>
      </c>
      <c r="R178" s="138">
        <f>(Q178-O178)/O178</f>
        <v>2.6693927340670349E-2</v>
      </c>
      <c r="S178" s="260">
        <v>3797</v>
      </c>
      <c r="T178" s="138">
        <f>(S178-Q178)/Q178</f>
        <v>1.6327623126338328E-2</v>
      </c>
      <c r="U178" s="236">
        <v>4012.118930160183</v>
      </c>
      <c r="V178" s="138">
        <f>(U178-S178)/S178</f>
        <v>5.6654972388776148E-2</v>
      </c>
      <c r="W178" s="236">
        <v>4110</v>
      </c>
      <c r="X178" s="138">
        <f>(W178-U178)/U178</f>
        <v>2.4396353035304737E-2</v>
      </c>
      <c r="Y178" s="236">
        <v>4292.5985962190489</v>
      </c>
      <c r="Z178" s="138">
        <f>(Y178-W178)/W178</f>
        <v>4.4427882291739391E-2</v>
      </c>
      <c r="AA178" s="236">
        <v>4383.9845659070052</v>
      </c>
      <c r="AB178" s="138">
        <f>(AA178-Y178)/Y178</f>
        <v>2.1289195260057552E-2</v>
      </c>
      <c r="AC178" s="236">
        <v>4316.5196781638424</v>
      </c>
      <c r="AD178" s="138">
        <f>(AC178-AA178)/AA178</f>
        <v>-1.5388942805095143E-2</v>
      </c>
      <c r="AE178" s="236">
        <v>4010</v>
      </c>
      <c r="AF178" s="138">
        <f>(AE178-AC178)/AC178</f>
        <v>-7.101083766962682E-2</v>
      </c>
      <c r="AG178" s="236">
        <v>4123</v>
      </c>
      <c r="AH178" s="138">
        <f>(AG178-AE178)/AE178</f>
        <v>2.8179551122194512E-2</v>
      </c>
      <c r="AI178" s="236">
        <v>4103</v>
      </c>
      <c r="AJ178" s="138">
        <f>(AI178-AG178)/AG178</f>
        <v>-4.8508367693427118E-3</v>
      </c>
      <c r="AK178" s="236">
        <v>4017</v>
      </c>
      <c r="AL178" s="138">
        <f>(AK178-AI178)/AI178</f>
        <v>-2.096027297099683E-2</v>
      </c>
      <c r="AM178" s="236">
        <v>3974.1505161658238</v>
      </c>
      <c r="AN178" s="138">
        <f t="shared" ref="AN178" si="78">(AM178-AK178)/AK178</f>
        <v>-1.0667036055308993E-2</v>
      </c>
      <c r="AO178" s="135" t="str">
        <f t="shared" si="74"/>
        <v>YES</v>
      </c>
      <c r="AP178" s="271">
        <f t="shared" si="56"/>
        <v>-1.5861886468616169E-2</v>
      </c>
    </row>
    <row r="179" spans="1:42" x14ac:dyDescent="0.2">
      <c r="A179" s="3" t="s">
        <v>211</v>
      </c>
      <c r="B179" s="5"/>
      <c r="C179" s="5"/>
      <c r="D179" s="138"/>
      <c r="E179" s="5"/>
      <c r="F179" s="138"/>
      <c r="G179" s="5"/>
      <c r="H179" s="138"/>
      <c r="J179" s="138"/>
      <c r="L179" s="138"/>
      <c r="N179" s="138"/>
      <c r="P179" s="138"/>
      <c r="R179" s="138"/>
      <c r="S179" s="260"/>
      <c r="T179" s="138"/>
      <c r="V179" s="138"/>
      <c r="X179" s="138"/>
      <c r="Z179" s="138"/>
      <c r="AB179" s="138"/>
      <c r="AD179" s="138"/>
      <c r="AF179" s="138"/>
      <c r="AH179" s="138"/>
      <c r="AJ179" s="138"/>
      <c r="AL179" s="138"/>
      <c r="AM179" s="236"/>
      <c r="AN179" s="138"/>
      <c r="AP179" s="271"/>
    </row>
    <row r="180" spans="1:42" x14ac:dyDescent="0.2">
      <c r="B180" s="5"/>
      <c r="C180" s="5"/>
      <c r="D180" s="138"/>
      <c r="E180" s="5"/>
      <c r="F180" s="138"/>
      <c r="G180" s="5"/>
      <c r="H180" s="138"/>
      <c r="J180" s="138"/>
      <c r="L180" s="138"/>
      <c r="N180" s="138"/>
      <c r="P180" s="138"/>
      <c r="R180" s="138"/>
      <c r="S180" s="260"/>
      <c r="T180" s="138"/>
      <c r="V180" s="138"/>
      <c r="X180" s="138"/>
      <c r="Z180" s="138"/>
      <c r="AB180" s="138"/>
      <c r="AD180" s="138"/>
      <c r="AF180" s="138"/>
      <c r="AH180" s="138"/>
      <c r="AJ180" s="138"/>
      <c r="AL180" s="138"/>
      <c r="AM180" s="236"/>
      <c r="AN180" s="138"/>
      <c r="AP180" s="271"/>
    </row>
    <row r="181" spans="1:42" x14ac:dyDescent="0.2">
      <c r="B181" s="5"/>
      <c r="C181" s="5"/>
      <c r="D181" s="138"/>
      <c r="E181" s="5"/>
      <c r="F181" s="138"/>
      <c r="G181" s="5"/>
      <c r="H181" s="138"/>
      <c r="J181" s="138"/>
      <c r="L181" s="138"/>
      <c r="N181" s="138"/>
      <c r="P181" s="138"/>
      <c r="R181" s="138"/>
      <c r="S181" s="260"/>
      <c r="T181" s="138"/>
      <c r="V181" s="138"/>
      <c r="X181" s="138"/>
      <c r="Z181" s="138"/>
      <c r="AB181" s="138"/>
      <c r="AD181" s="138"/>
      <c r="AF181" s="138"/>
      <c r="AH181" s="138"/>
      <c r="AJ181" s="138"/>
      <c r="AL181" s="138"/>
      <c r="AM181" s="236"/>
      <c r="AN181" s="138"/>
      <c r="AP181" s="271"/>
    </row>
    <row r="182" spans="1:42" x14ac:dyDescent="0.2">
      <c r="B182" s="5"/>
      <c r="C182" s="5"/>
      <c r="D182" s="138"/>
      <c r="E182" s="5"/>
      <c r="F182" s="138"/>
      <c r="G182" s="5"/>
      <c r="H182" s="138"/>
      <c r="J182" s="138"/>
      <c r="L182" s="138"/>
      <c r="N182" s="138"/>
      <c r="P182" s="138"/>
      <c r="R182" s="138"/>
      <c r="S182" s="260"/>
      <c r="T182" s="138"/>
      <c r="V182" s="138"/>
      <c r="X182" s="138"/>
      <c r="Z182" s="138"/>
      <c r="AB182" s="138"/>
      <c r="AD182" s="138"/>
      <c r="AF182" s="138"/>
      <c r="AH182" s="138"/>
      <c r="AJ182" s="138"/>
      <c r="AL182" s="138"/>
      <c r="AM182" s="236"/>
      <c r="AN182" s="138"/>
      <c r="AP182" s="271"/>
    </row>
    <row r="183" spans="1:42" x14ac:dyDescent="0.2">
      <c r="A183" s="3" t="s">
        <v>212</v>
      </c>
      <c r="B183" s="5">
        <v>291050</v>
      </c>
      <c r="C183" s="5">
        <v>303240</v>
      </c>
      <c r="D183" s="138">
        <f>(C183-B183)/B183</f>
        <v>4.1882838000343585E-2</v>
      </c>
      <c r="E183" s="5">
        <v>308700</v>
      </c>
      <c r="F183" s="138">
        <f>(E183-C183)/C183</f>
        <v>1.8005540166204988E-2</v>
      </c>
      <c r="G183" s="5">
        <v>311350</v>
      </c>
      <c r="H183" s="138">
        <f>(G183-E183)/E183</f>
        <v>8.584386135406543E-3</v>
      </c>
      <c r="I183" s="5">
        <v>323670</v>
      </c>
      <c r="J183" s="138">
        <f>(I183-G183)/G183</f>
        <v>3.956961618757026E-2</v>
      </c>
      <c r="K183" s="5">
        <v>339486</v>
      </c>
      <c r="L183" s="138">
        <f>(K183-I183)/I183</f>
        <v>4.8864584298822872E-2</v>
      </c>
      <c r="M183" s="5">
        <v>353271</v>
      </c>
      <c r="N183" s="138">
        <f>(M183-K183)/K183</f>
        <v>4.0605503614287483E-2</v>
      </c>
      <c r="O183" s="5">
        <v>359422.72956218716</v>
      </c>
      <c r="P183" s="138">
        <f>(O183-M183)/M183</f>
        <v>1.7413627391399691E-2</v>
      </c>
      <c r="Q183" s="5">
        <v>373233</v>
      </c>
      <c r="R183" s="138">
        <f>(Q183-O183)/O183</f>
        <v>3.8423475484244227E-2</v>
      </c>
      <c r="S183" s="260">
        <v>383453</v>
      </c>
      <c r="T183" s="138">
        <f>(S183-Q183)/Q183</f>
        <v>2.7382359008983663E-2</v>
      </c>
      <c r="U183" s="236">
        <v>396844.17827113118</v>
      </c>
      <c r="V183" s="138">
        <f>(U183-S183)/S183</f>
        <v>3.4922606606627625E-2</v>
      </c>
      <c r="W183" s="236">
        <v>409085</v>
      </c>
      <c r="X183" s="138">
        <f>(W183-U183)/U183</f>
        <v>3.0845410866795341E-2</v>
      </c>
      <c r="Y183" s="236">
        <v>418061.14670199994</v>
      </c>
      <c r="Z183" s="138">
        <f>(Y183-W183)/W183</f>
        <v>2.1942008878350319E-2</v>
      </c>
      <c r="AA183" s="236">
        <v>423832.8</v>
      </c>
      <c r="AB183" s="138">
        <f>(AA183-Y183)/Y183</f>
        <v>1.3805763447599609E-2</v>
      </c>
      <c r="AC183" s="236">
        <v>416632.12</v>
      </c>
      <c r="AD183" s="138">
        <f>(AC183-AA183)/AA183</f>
        <v>-1.6989435456623445E-2</v>
      </c>
      <c r="AE183" s="236">
        <v>421407</v>
      </c>
      <c r="AF183" s="138">
        <f>(AE183-AC183)/AC183</f>
        <v>1.1460662226426529E-2</v>
      </c>
      <c r="AG183" s="236">
        <v>421593</v>
      </c>
      <c r="AH183" s="138">
        <f>(AG183-AE183)/AE183</f>
        <v>4.4137852479906599E-4</v>
      </c>
      <c r="AI183" s="236">
        <v>427704</v>
      </c>
      <c r="AJ183" s="138">
        <f t="shared" ref="AJ183:AJ185" si="79">(AI183-AG183)/AG183</f>
        <v>1.4495022450562509E-2</v>
      </c>
      <c r="AK183" s="236">
        <v>432324</v>
      </c>
      <c r="AL183" s="138">
        <f t="shared" ref="AL183:AL185" si="80">(AK183-AI183)/AI183</f>
        <v>1.0801862970652601E-2</v>
      </c>
      <c r="AM183" s="236">
        <v>436796.64977200003</v>
      </c>
      <c r="AN183" s="138">
        <f t="shared" ref="AN183:AN185" si="81">(AM183-AK183)/AK183</f>
        <v>1.0345596756136678E-2</v>
      </c>
      <c r="AO183" s="135" t="str">
        <f t="shared" si="74"/>
        <v xml:space="preserve"> </v>
      </c>
      <c r="AP183" s="271">
        <f t="shared" si="56"/>
        <v>9.5089045857154764E-3</v>
      </c>
    </row>
    <row r="184" spans="1:42" x14ac:dyDescent="0.2">
      <c r="A184" s="3" t="s">
        <v>213</v>
      </c>
      <c r="B184" s="5">
        <v>154710</v>
      </c>
      <c r="C184" s="5">
        <v>161710</v>
      </c>
      <c r="D184" s="138">
        <f>(C184-B184)/B184</f>
        <v>4.5245944024303535E-2</v>
      </c>
      <c r="E184" s="5">
        <v>164600</v>
      </c>
      <c r="F184" s="138">
        <f>(E184-C184)/C184</f>
        <v>1.787149836126399E-2</v>
      </c>
      <c r="G184" s="5">
        <v>165940</v>
      </c>
      <c r="H184" s="138">
        <f>(G184-E184)/E184</f>
        <v>8.1409477521263672E-3</v>
      </c>
      <c r="I184" s="5">
        <v>176910</v>
      </c>
      <c r="J184" s="138">
        <f>(I184-G184)/G184</f>
        <v>6.610823189104495E-2</v>
      </c>
      <c r="K184" s="5">
        <v>180480</v>
      </c>
      <c r="L184" s="138">
        <f>(K184-I184)/I184</f>
        <v>2.0179752416482958E-2</v>
      </c>
      <c r="M184" s="5">
        <v>186883</v>
      </c>
      <c r="N184" s="138">
        <f>(M184-K184)/K184</f>
        <v>3.547761524822695E-2</v>
      </c>
      <c r="O184" s="5">
        <v>187833.55955278955</v>
      </c>
      <c r="P184" s="138">
        <f>(O184-M184)/M184</f>
        <v>5.0863885574907791E-3</v>
      </c>
      <c r="Q184" s="5">
        <v>195727</v>
      </c>
      <c r="R184" s="138">
        <f>(Q184-O184)/O184</f>
        <v>4.2023589746176558E-2</v>
      </c>
      <c r="S184" s="260">
        <v>199249</v>
      </c>
      <c r="T184" s="138">
        <f>(S184-Q184)/Q184</f>
        <v>1.799445145534341E-2</v>
      </c>
      <c r="U184" s="236">
        <v>206735.26243019418</v>
      </c>
      <c r="V184" s="138">
        <f>(U184-S184)/S184</f>
        <v>3.757239649982777E-2</v>
      </c>
      <c r="W184" s="236">
        <v>214371.15906975244</v>
      </c>
      <c r="X184" s="138">
        <f>(W184-U184)/U184</f>
        <v>3.6935627477371336E-2</v>
      </c>
      <c r="Y184" s="236">
        <v>220612.82585839674</v>
      </c>
      <c r="Z184" s="138">
        <f>(Y184-W184)/W184</f>
        <v>2.9116168498269767E-2</v>
      </c>
      <c r="AA184" s="236">
        <v>223012.44843551188</v>
      </c>
      <c r="AB184" s="138">
        <f>(AA184-Y184)/Y184</f>
        <v>1.0877076469957218E-2</v>
      </c>
      <c r="AC184" s="236">
        <v>218143.47390321709</v>
      </c>
      <c r="AD184" s="138">
        <f>(AC184-AA184)/AA184</f>
        <v>-2.1832747752207827E-2</v>
      </c>
      <c r="AE184" s="236">
        <v>225221</v>
      </c>
      <c r="AF184" s="138">
        <f>(AE184-AC184)/AC184</f>
        <v>3.2444363198887029E-2</v>
      </c>
      <c r="AG184" s="236">
        <v>222801</v>
      </c>
      <c r="AH184" s="138">
        <f>(AG184-AE184)/AE184</f>
        <v>-1.074500157622957E-2</v>
      </c>
      <c r="AI184" s="236">
        <v>229859</v>
      </c>
      <c r="AJ184" s="138">
        <f t="shared" si="79"/>
        <v>3.1678493364033375E-2</v>
      </c>
      <c r="AK184" s="236">
        <v>232243</v>
      </c>
      <c r="AL184" s="138">
        <f t="shared" si="80"/>
        <v>1.0371575618096311E-2</v>
      </c>
      <c r="AM184" s="236">
        <v>235371.11406913289</v>
      </c>
      <c r="AN184" s="138">
        <f t="shared" si="81"/>
        <v>1.3469142532316973E-2</v>
      </c>
      <c r="AO184" s="135" t="str">
        <f t="shared" si="74"/>
        <v xml:space="preserve"> </v>
      </c>
      <c r="AP184" s="271">
        <f t="shared" si="56"/>
        <v>1.5443714627420824E-2</v>
      </c>
    </row>
    <row r="185" spans="1:42" x14ac:dyDescent="0.2">
      <c r="A185" s="3" t="s">
        <v>214</v>
      </c>
      <c r="B185" s="5">
        <v>58840</v>
      </c>
      <c r="C185" s="5">
        <v>60420</v>
      </c>
      <c r="D185" s="138">
        <f>(C185-B185)/B185</f>
        <v>2.6852481305234533E-2</v>
      </c>
      <c r="E185" s="5">
        <v>61370</v>
      </c>
      <c r="F185" s="138">
        <f>(E185-C185)/C185</f>
        <v>1.5723270440251572E-2</v>
      </c>
      <c r="G185" s="5">
        <v>61660</v>
      </c>
      <c r="H185" s="138">
        <f>(G185-E185)/E185</f>
        <v>4.7254358807234803E-3</v>
      </c>
      <c r="I185" s="5">
        <v>64210</v>
      </c>
      <c r="J185" s="138">
        <f>(I185-G185)/G185</f>
        <v>4.1355822251054171E-2</v>
      </c>
      <c r="K185" s="5">
        <v>66346</v>
      </c>
      <c r="L185" s="138">
        <f>(K185-I185)/I185</f>
        <v>3.3265846441364273E-2</v>
      </c>
      <c r="M185" s="5">
        <v>71753</v>
      </c>
      <c r="N185" s="138">
        <f>(M185-K185)/K185</f>
        <v>8.1497000572754955E-2</v>
      </c>
      <c r="O185" s="5">
        <v>75255.138993241402</v>
      </c>
      <c r="P185" s="138">
        <f>(O185-M185)/M185</f>
        <v>4.8808258793937569E-2</v>
      </c>
      <c r="Q185" s="5">
        <v>78435</v>
      </c>
      <c r="R185" s="138">
        <f>(Q185-O185)/O185</f>
        <v>4.2254403477271878E-2</v>
      </c>
      <c r="S185" s="260">
        <v>81673</v>
      </c>
      <c r="T185" s="138">
        <f>(S185-Q185)/Q185</f>
        <v>4.1282590680181044E-2</v>
      </c>
      <c r="U185" s="236">
        <v>85618.443079746125</v>
      </c>
      <c r="V185" s="138">
        <f>(U185-S185)/S185</f>
        <v>4.830780159595123E-2</v>
      </c>
      <c r="W185" s="236">
        <v>87845.587246360548</v>
      </c>
      <c r="X185" s="138">
        <f>(W185-U185)/U185</f>
        <v>2.601243478043665E-2</v>
      </c>
      <c r="Y185" s="236">
        <v>89448.694760428654</v>
      </c>
      <c r="Z185" s="138">
        <f>(Y185-W185)/W185</f>
        <v>1.8249152453978533E-2</v>
      </c>
      <c r="AA185" s="236">
        <v>91684.296923044472</v>
      </c>
      <c r="AB185" s="138">
        <f>(AA185-Y185)/Y185</f>
        <v>2.4993122242906441E-2</v>
      </c>
      <c r="AC185" s="236">
        <v>91236.885876062981</v>
      </c>
      <c r="AD185" s="138">
        <f>(AC185-AA185)/AA185</f>
        <v>-4.8799092319705235E-3</v>
      </c>
      <c r="AE185" s="236">
        <v>90264</v>
      </c>
      <c r="AF185" s="138">
        <f>(AE185-AC185)/AC185</f>
        <v>-1.0663295516076228E-2</v>
      </c>
      <c r="AG185" s="236">
        <v>92302</v>
      </c>
      <c r="AH185" s="138">
        <f>(AG185-AE185)/AE185</f>
        <v>2.2578215013737482E-2</v>
      </c>
      <c r="AI185" s="236">
        <v>90214</v>
      </c>
      <c r="AJ185" s="138">
        <f t="shared" si="79"/>
        <v>-2.2621394986024137E-2</v>
      </c>
      <c r="AK185" s="236">
        <v>91551</v>
      </c>
      <c r="AL185" s="138">
        <f t="shared" si="80"/>
        <v>1.4820316137184916E-2</v>
      </c>
      <c r="AM185" s="236">
        <v>92396.162151950921</v>
      </c>
      <c r="AN185" s="138">
        <f t="shared" si="81"/>
        <v>9.2315993484606475E-3</v>
      </c>
      <c r="AO185" s="135" t="str">
        <f t="shared" si="74"/>
        <v xml:space="preserve"> </v>
      </c>
      <c r="AP185" s="271">
        <f t="shared" si="56"/>
        <v>2.6690879994565363E-3</v>
      </c>
    </row>
    <row r="186" spans="1:42" x14ac:dyDescent="0.2">
      <c r="A186" s="3" t="s">
        <v>215</v>
      </c>
      <c r="B186" s="5"/>
      <c r="C186" s="5"/>
      <c r="D186" s="138"/>
      <c r="E186" s="5"/>
      <c r="F186" s="138"/>
      <c r="G186" s="5"/>
      <c r="H186" s="138"/>
      <c r="J186" s="138"/>
      <c r="L186" s="138"/>
      <c r="N186" s="138"/>
      <c r="P186" s="138"/>
      <c r="R186" s="138"/>
      <c r="S186" s="260"/>
      <c r="T186" s="138"/>
      <c r="V186" s="138"/>
      <c r="X186" s="138"/>
      <c r="Z186" s="138"/>
      <c r="AB186" s="138"/>
      <c r="AD186" s="138"/>
      <c r="AF186" s="138"/>
      <c r="AH186" s="138"/>
      <c r="AJ186" s="138"/>
      <c r="AL186" s="138"/>
      <c r="AM186" s="236"/>
      <c r="AN186" s="138"/>
      <c r="AP186" s="271"/>
    </row>
    <row r="187" spans="1:42" x14ac:dyDescent="0.2">
      <c r="A187" s="3" t="s">
        <v>216</v>
      </c>
      <c r="B187" s="5"/>
      <c r="C187" s="5"/>
      <c r="D187" s="138"/>
      <c r="E187" s="5"/>
      <c r="F187" s="138"/>
      <c r="G187" s="5"/>
      <c r="H187" s="138"/>
      <c r="J187" s="138"/>
      <c r="L187" s="138"/>
      <c r="N187" s="138"/>
      <c r="P187" s="138"/>
      <c r="R187" s="138"/>
      <c r="S187" s="260"/>
      <c r="T187" s="138"/>
      <c r="V187" s="138"/>
      <c r="X187" s="138"/>
      <c r="Z187" s="138"/>
      <c r="AB187" s="138"/>
      <c r="AD187" s="138"/>
      <c r="AF187" s="138"/>
      <c r="AH187" s="138"/>
      <c r="AJ187" s="138"/>
      <c r="AL187" s="138"/>
      <c r="AM187" s="236"/>
      <c r="AN187" s="138"/>
      <c r="AP187" s="271"/>
    </row>
    <row r="188" spans="1:42" x14ac:dyDescent="0.2">
      <c r="A188" s="3" t="s">
        <v>217</v>
      </c>
      <c r="B188" s="5"/>
      <c r="C188" s="5"/>
      <c r="D188" s="138"/>
      <c r="E188" s="5"/>
      <c r="F188" s="138"/>
      <c r="G188" s="5"/>
      <c r="H188" s="138"/>
      <c r="J188" s="138"/>
      <c r="L188" s="138"/>
      <c r="N188" s="138"/>
      <c r="P188" s="138"/>
      <c r="R188" s="138"/>
      <c r="S188" s="260"/>
      <c r="T188" s="138"/>
      <c r="V188" s="138"/>
      <c r="X188" s="138"/>
      <c r="Z188" s="138"/>
      <c r="AB188" s="138"/>
      <c r="AD188" s="138"/>
      <c r="AF188" s="138"/>
      <c r="AH188" s="138"/>
      <c r="AJ188" s="138"/>
      <c r="AL188" s="138"/>
      <c r="AM188" s="236"/>
      <c r="AN188" s="138"/>
      <c r="AP188" s="271"/>
    </row>
    <row r="189" spans="1:42" x14ac:dyDescent="0.2">
      <c r="A189" s="3" t="s">
        <v>218</v>
      </c>
      <c r="B189" s="5"/>
      <c r="C189" s="5"/>
      <c r="D189" s="138"/>
      <c r="E189" s="5"/>
      <c r="F189" s="138"/>
      <c r="G189" s="5"/>
      <c r="H189" s="138"/>
      <c r="J189" s="138"/>
      <c r="L189" s="138"/>
      <c r="N189" s="138"/>
      <c r="P189" s="138"/>
      <c r="R189" s="138"/>
      <c r="S189" s="260"/>
      <c r="T189" s="138"/>
      <c r="V189" s="138"/>
      <c r="X189" s="138"/>
      <c r="Z189" s="138"/>
      <c r="AB189" s="138"/>
      <c r="AD189" s="138"/>
      <c r="AF189" s="138"/>
      <c r="AH189" s="138"/>
      <c r="AJ189" s="138"/>
      <c r="AL189" s="138"/>
      <c r="AM189" s="236"/>
      <c r="AN189" s="138"/>
      <c r="AP189" s="271"/>
    </row>
    <row r="190" spans="1:42" x14ac:dyDescent="0.2">
      <c r="A190" s="3" t="s">
        <v>219</v>
      </c>
      <c r="B190" s="5"/>
      <c r="C190" s="5"/>
      <c r="D190" s="138"/>
      <c r="E190" s="5"/>
      <c r="F190" s="138"/>
      <c r="G190" s="5"/>
      <c r="H190" s="138"/>
      <c r="J190" s="138"/>
      <c r="L190" s="138"/>
      <c r="N190" s="138"/>
      <c r="P190" s="138"/>
      <c r="R190" s="138"/>
      <c r="S190" s="260"/>
      <c r="T190" s="138"/>
      <c r="V190" s="138"/>
      <c r="X190" s="138"/>
      <c r="Z190" s="138"/>
      <c r="AB190" s="138"/>
      <c r="AD190" s="138"/>
      <c r="AF190" s="138"/>
      <c r="AH190" s="138"/>
      <c r="AJ190" s="138"/>
      <c r="AL190" s="138"/>
      <c r="AM190" s="236"/>
      <c r="AN190" s="138"/>
      <c r="AP190" s="271"/>
    </row>
    <row r="191" spans="1:42" x14ac:dyDescent="0.2">
      <c r="A191" s="3" t="s">
        <v>220</v>
      </c>
      <c r="B191" s="5"/>
      <c r="C191" s="5"/>
      <c r="D191" s="138"/>
      <c r="E191" s="5"/>
      <c r="F191" s="138"/>
      <c r="G191" s="5"/>
      <c r="H191" s="138"/>
      <c r="J191" s="138"/>
      <c r="L191" s="138"/>
      <c r="N191" s="138"/>
      <c r="P191" s="138"/>
      <c r="R191" s="138"/>
      <c r="S191" s="260"/>
      <c r="T191" s="138"/>
      <c r="V191" s="138"/>
      <c r="X191" s="138"/>
      <c r="Z191" s="138"/>
      <c r="AB191" s="138"/>
      <c r="AD191" s="138"/>
      <c r="AF191" s="138"/>
      <c r="AH191" s="138"/>
      <c r="AJ191" s="138"/>
      <c r="AL191" s="138"/>
      <c r="AM191" s="236"/>
      <c r="AN191" s="138"/>
      <c r="AP191" s="271"/>
    </row>
    <row r="192" spans="1:42" x14ac:dyDescent="0.2">
      <c r="A192" s="3" t="s">
        <v>221</v>
      </c>
      <c r="B192" s="5"/>
      <c r="C192" s="5"/>
      <c r="D192" s="138"/>
      <c r="E192" s="5"/>
      <c r="F192" s="138"/>
      <c r="G192" s="5"/>
      <c r="H192" s="138"/>
      <c r="J192" s="138"/>
      <c r="L192" s="138"/>
      <c r="N192" s="138"/>
      <c r="P192" s="138"/>
      <c r="R192" s="138"/>
      <c r="S192" s="260"/>
      <c r="T192" s="138"/>
      <c r="V192" s="138"/>
      <c r="X192" s="138"/>
      <c r="Z192" s="138"/>
      <c r="AB192" s="138"/>
      <c r="AD192" s="138"/>
      <c r="AF192" s="138"/>
      <c r="AH192" s="138"/>
      <c r="AJ192" s="138"/>
      <c r="AL192" s="138"/>
      <c r="AM192" s="236"/>
      <c r="AN192" s="138"/>
      <c r="AP192" s="271"/>
    </row>
    <row r="193" spans="1:42" x14ac:dyDescent="0.2">
      <c r="A193" s="3" t="s">
        <v>222</v>
      </c>
      <c r="B193" s="5"/>
      <c r="C193" s="5"/>
      <c r="D193" s="138"/>
      <c r="E193" s="5"/>
      <c r="F193" s="138"/>
      <c r="G193" s="5"/>
      <c r="H193" s="138"/>
      <c r="J193" s="138"/>
      <c r="L193" s="138"/>
      <c r="N193" s="138"/>
      <c r="P193" s="138"/>
      <c r="R193" s="138"/>
      <c r="S193" s="260"/>
      <c r="T193" s="138"/>
      <c r="V193" s="138"/>
      <c r="X193" s="138"/>
      <c r="Z193" s="138"/>
      <c r="AB193" s="138"/>
      <c r="AD193" s="138"/>
      <c r="AF193" s="138"/>
      <c r="AH193" s="138"/>
      <c r="AJ193" s="138"/>
      <c r="AL193" s="138"/>
      <c r="AM193" s="236"/>
      <c r="AN193" s="138"/>
      <c r="AP193" s="271"/>
    </row>
    <row r="194" spans="1:42" x14ac:dyDescent="0.2">
      <c r="B194" s="5"/>
      <c r="C194" s="5"/>
      <c r="D194" s="138"/>
      <c r="E194" s="5"/>
      <c r="F194" s="138"/>
      <c r="G194" s="5"/>
      <c r="H194" s="138"/>
      <c r="J194" s="138"/>
      <c r="L194" s="138"/>
      <c r="N194" s="138"/>
      <c r="P194" s="138"/>
      <c r="R194" s="138"/>
      <c r="S194" s="260"/>
      <c r="T194" s="138"/>
      <c r="V194" s="138"/>
      <c r="X194" s="138"/>
      <c r="Z194" s="138"/>
      <c r="AB194" s="138"/>
      <c r="AD194" s="138"/>
      <c r="AF194" s="138"/>
      <c r="AH194" s="138"/>
      <c r="AJ194" s="138"/>
      <c r="AL194" s="138"/>
      <c r="AM194" s="236"/>
      <c r="AN194" s="138"/>
      <c r="AP194" s="271"/>
    </row>
    <row r="195" spans="1:42" x14ac:dyDescent="0.2">
      <c r="B195" s="5"/>
      <c r="C195" s="5"/>
      <c r="D195" s="138"/>
      <c r="E195" s="5"/>
      <c r="F195" s="138"/>
      <c r="G195" s="5"/>
      <c r="H195" s="138"/>
      <c r="J195" s="138"/>
      <c r="L195" s="138"/>
      <c r="N195" s="138"/>
      <c r="P195" s="138"/>
      <c r="R195" s="138"/>
      <c r="S195" s="260"/>
      <c r="T195" s="138"/>
      <c r="V195" s="138"/>
      <c r="X195" s="138"/>
      <c r="Z195" s="138"/>
      <c r="AB195" s="138"/>
      <c r="AD195" s="138"/>
      <c r="AF195" s="138"/>
      <c r="AH195" s="138"/>
      <c r="AJ195" s="138"/>
      <c r="AL195" s="138"/>
      <c r="AM195" s="236"/>
      <c r="AN195" s="138"/>
      <c r="AP195" s="271"/>
    </row>
    <row r="196" spans="1:42" x14ac:dyDescent="0.2">
      <c r="B196" s="5"/>
      <c r="C196" s="5"/>
      <c r="D196" s="138"/>
      <c r="E196" s="5"/>
      <c r="F196" s="138"/>
      <c r="G196" s="5"/>
      <c r="H196" s="138"/>
      <c r="J196" s="138"/>
      <c r="L196" s="138"/>
      <c r="N196" s="138"/>
      <c r="P196" s="138"/>
      <c r="R196" s="138"/>
      <c r="S196" s="260"/>
      <c r="T196" s="138"/>
      <c r="V196" s="138"/>
      <c r="X196" s="138"/>
      <c r="Z196" s="138"/>
      <c r="AB196" s="138"/>
      <c r="AD196" s="138"/>
      <c r="AF196" s="138"/>
      <c r="AH196" s="138"/>
      <c r="AJ196" s="138"/>
      <c r="AL196" s="138"/>
      <c r="AM196" s="236"/>
      <c r="AN196" s="138"/>
      <c r="AP196" s="271"/>
    </row>
    <row r="197" spans="1:42" x14ac:dyDescent="0.2">
      <c r="A197" s="3" t="s">
        <v>223</v>
      </c>
      <c r="B197" s="5">
        <v>9770</v>
      </c>
      <c r="C197" s="5">
        <v>10400</v>
      </c>
      <c r="D197" s="138">
        <f>(C197-B197)/B197</f>
        <v>6.4483111566018422E-2</v>
      </c>
      <c r="E197" s="5">
        <v>10640</v>
      </c>
      <c r="F197" s="138">
        <f>(E197-C197)/C197</f>
        <v>2.3076923076923078E-2</v>
      </c>
      <c r="G197" s="5">
        <v>10960</v>
      </c>
      <c r="H197" s="138">
        <f>(G197-E197)/E197</f>
        <v>3.007518796992481E-2</v>
      </c>
      <c r="I197" s="5">
        <v>11150</v>
      </c>
      <c r="J197" s="138">
        <f>(I197-G197)/G197</f>
        <v>1.7335766423357664E-2</v>
      </c>
      <c r="K197" s="5">
        <v>9181</v>
      </c>
      <c r="L197" s="138">
        <f>(K197-I197)/I197</f>
        <v>-0.17659192825112108</v>
      </c>
      <c r="M197" s="5">
        <v>8783</v>
      </c>
      <c r="N197" s="138">
        <f>(M197-K197)/K197</f>
        <v>-4.3350397560178631E-2</v>
      </c>
      <c r="O197" s="5">
        <v>8863.2510299999994</v>
      </c>
      <c r="P197" s="138">
        <f>(O197-M197)/M197</f>
        <v>9.1370864169417563E-3</v>
      </c>
      <c r="Q197" s="5">
        <v>8842</v>
      </c>
      <c r="R197" s="138">
        <f>(Q197-O197)/O197</f>
        <v>-2.3976563371690316E-3</v>
      </c>
      <c r="S197" s="260">
        <v>8966</v>
      </c>
      <c r="T197" s="138">
        <f>(S197-Q197)/Q197</f>
        <v>1.4023976475910428E-2</v>
      </c>
      <c r="U197" s="236">
        <v>9275.2913599999993</v>
      </c>
      <c r="V197" s="138">
        <f>(U197-S197)/S197</f>
        <v>3.4496024983270049E-2</v>
      </c>
      <c r="W197" s="236">
        <v>9542</v>
      </c>
      <c r="X197" s="138">
        <f>(W197-U197)/U197</f>
        <v>2.8754745230989785E-2</v>
      </c>
      <c r="Y197" s="236">
        <v>9589.8838800000012</v>
      </c>
      <c r="Z197" s="138">
        <f>(Y197-W197)/W197</f>
        <v>5.0182225948439772E-3</v>
      </c>
      <c r="AA197" s="236">
        <v>9694.4579000000012</v>
      </c>
      <c r="AB197" s="138">
        <f>(AA197-Y197)/Y197</f>
        <v>1.090461796081727E-2</v>
      </c>
      <c r="AC197" s="236">
        <v>9570</v>
      </c>
      <c r="AD197" s="138">
        <f>(AC197-AA197)/AA197</f>
        <v>-1.2838046364614284E-2</v>
      </c>
      <c r="AE197" s="236">
        <v>10030</v>
      </c>
      <c r="AF197" s="138">
        <f>(AE197-AC197)/AC197</f>
        <v>4.8066875653082548E-2</v>
      </c>
      <c r="AG197" s="236">
        <v>10002</v>
      </c>
      <c r="AH197" s="138">
        <f>(AG197-AE197)/AE197</f>
        <v>-2.7916251246261218E-3</v>
      </c>
      <c r="AI197" s="236">
        <v>9945</v>
      </c>
      <c r="AJ197" s="138">
        <f t="shared" ref="AJ197:AJ201" si="82">(AI197-AG197)/AG197</f>
        <v>-5.6988602279544089E-3</v>
      </c>
      <c r="AK197" s="236">
        <v>10095</v>
      </c>
      <c r="AL197" s="138">
        <f t="shared" ref="AL197:AL201" si="83">(AK197-AI197)/AI197</f>
        <v>1.5082956259426848E-2</v>
      </c>
      <c r="AM197" s="236">
        <v>10217.809431969765</v>
      </c>
      <c r="AN197" s="138">
        <f t="shared" ref="AN197:AN201" si="84">(AM197-AK197)/AK197</f>
        <v>1.2165372161442771E-2</v>
      </c>
      <c r="AO197" s="135" t="str">
        <f t="shared" si="74"/>
        <v xml:space="preserve"> </v>
      </c>
      <c r="AP197" s="271">
        <f t="shared" si="56"/>
        <v>1.3364943744274327E-2</v>
      </c>
    </row>
    <row r="198" spans="1:42" x14ac:dyDescent="0.2">
      <c r="A198" s="3" t="s">
        <v>224</v>
      </c>
      <c r="B198" s="5">
        <v>4860</v>
      </c>
      <c r="C198" s="5">
        <v>5060</v>
      </c>
      <c r="D198" s="138">
        <f>(C198-B198)/B198</f>
        <v>4.1152263374485597E-2</v>
      </c>
      <c r="E198" s="5">
        <v>5200</v>
      </c>
      <c r="F198" s="138">
        <f>(E198-C198)/C198</f>
        <v>2.766798418972332E-2</v>
      </c>
      <c r="G198" s="5">
        <v>5310</v>
      </c>
      <c r="H198" s="138">
        <f>(G198-E198)/E198</f>
        <v>2.1153846153846155E-2</v>
      </c>
      <c r="I198" s="5">
        <v>5400</v>
      </c>
      <c r="J198" s="138">
        <f>(I198-G198)/G198</f>
        <v>1.6949152542372881E-2</v>
      </c>
      <c r="K198" s="5">
        <v>4041</v>
      </c>
      <c r="L198" s="138">
        <f>(K198-I198)/I198</f>
        <v>-0.25166666666666665</v>
      </c>
      <c r="M198" s="5">
        <v>3695</v>
      </c>
      <c r="N198" s="138">
        <f>(M198-K198)/K198</f>
        <v>-8.5622370700321707E-2</v>
      </c>
      <c r="O198" s="5">
        <v>3886.102060739935</v>
      </c>
      <c r="P198" s="138">
        <f>(O198-M198)/M198</f>
        <v>5.1719096276031135E-2</v>
      </c>
      <c r="Q198" s="5">
        <v>3829</v>
      </c>
      <c r="R198" s="138">
        <f>(Q198-O198)/O198</f>
        <v>-1.4693916898585648E-2</v>
      </c>
      <c r="S198" s="260">
        <v>3962</v>
      </c>
      <c r="T198" s="138">
        <f>(S198-Q198)/Q198</f>
        <v>3.4734917733089579E-2</v>
      </c>
      <c r="U198" s="236">
        <v>4165.7978927882941</v>
      </c>
      <c r="V198" s="138">
        <f>(U198-S198)/S198</f>
        <v>5.1438135484173177E-2</v>
      </c>
      <c r="W198" s="236">
        <v>4324.7935641747954</v>
      </c>
      <c r="X198" s="138">
        <f>(W198-U198)/U198</f>
        <v>3.8166919154131278E-2</v>
      </c>
      <c r="Y198" s="236">
        <v>4294.3675931871794</v>
      </c>
      <c r="Z198" s="138">
        <f>(Y198-W198)/W198</f>
        <v>-7.0352423846666307E-3</v>
      </c>
      <c r="AA198" s="236">
        <v>4352.18946522231</v>
      </c>
      <c r="AB198" s="138">
        <f>(AA198-Y198)/Y198</f>
        <v>1.3464583732157065E-2</v>
      </c>
      <c r="AC198" s="236">
        <v>4291</v>
      </c>
      <c r="AD198" s="138">
        <f>(AC198-AA198)/AA198</f>
        <v>-1.4059467243157906E-2</v>
      </c>
      <c r="AE198" s="236">
        <v>4255</v>
      </c>
      <c r="AF198" s="138">
        <f>(AE198-AC198)/AC198</f>
        <v>-8.3896527615940335E-3</v>
      </c>
      <c r="AG198" s="236">
        <v>4089</v>
      </c>
      <c r="AH198" s="138">
        <f>(AG198-AE198)/AE198</f>
        <v>-3.9012925969447707E-2</v>
      </c>
      <c r="AI198" s="236">
        <v>4066</v>
      </c>
      <c r="AJ198" s="138">
        <f t="shared" si="82"/>
        <v>-5.6248471508926392E-3</v>
      </c>
      <c r="AK198" s="236">
        <v>4100</v>
      </c>
      <c r="AL198" s="138">
        <f t="shared" si="83"/>
        <v>8.362026561731432E-3</v>
      </c>
      <c r="AM198" s="236">
        <v>4164.853994304176</v>
      </c>
      <c r="AN198" s="138">
        <f t="shared" si="84"/>
        <v>1.5818047391262441E-2</v>
      </c>
      <c r="AO198" s="135" t="str">
        <f t="shared" si="74"/>
        <v xml:space="preserve"> </v>
      </c>
      <c r="AP198" s="271">
        <f t="shared" ref="AP198:AP201" si="85">AVERAGE(AN198,AL198,AJ198,AH198,AF198)</f>
        <v>-5.7694703857881016E-3</v>
      </c>
    </row>
    <row r="199" spans="1:42" x14ac:dyDescent="0.2">
      <c r="A199" s="3" t="s">
        <v>225</v>
      </c>
      <c r="B199" s="5"/>
      <c r="C199" s="5">
        <v>184</v>
      </c>
      <c r="D199" s="138"/>
      <c r="E199" s="5">
        <v>190</v>
      </c>
      <c r="F199" s="138">
        <f>(E199-C199)/C199</f>
        <v>3.2608695652173912E-2</v>
      </c>
      <c r="G199" s="5">
        <v>200</v>
      </c>
      <c r="H199" s="138">
        <f>(G199-E199)/E199</f>
        <v>5.2631578947368418E-2</v>
      </c>
      <c r="I199" s="5">
        <v>200</v>
      </c>
      <c r="J199" s="138">
        <f>(I199-G199)/G199</f>
        <v>0</v>
      </c>
      <c r="K199" s="5">
        <v>160.9687309178714</v>
      </c>
      <c r="L199" s="138">
        <f>(K199-I199)/I199</f>
        <v>-0.195156345410643</v>
      </c>
      <c r="M199" s="5">
        <v>146</v>
      </c>
      <c r="N199" s="138">
        <f>(M199-K199)/K199</f>
        <v>-9.2991544584573149E-2</v>
      </c>
      <c r="O199" s="5">
        <v>146.27060991816569</v>
      </c>
      <c r="P199" s="138">
        <f>(O199-M199)/M199</f>
        <v>1.8534925901759561E-3</v>
      </c>
      <c r="Q199" s="5">
        <v>147</v>
      </c>
      <c r="R199" s="138">
        <f>(Q199-O199)/O199</f>
        <v>4.9865798894417942E-3</v>
      </c>
      <c r="S199" s="260">
        <v>147</v>
      </c>
      <c r="T199" s="138">
        <f>(S199-Q199)/Q199</f>
        <v>0</v>
      </c>
      <c r="U199" s="236">
        <v>156.01815786133733</v>
      </c>
      <c r="V199" s="138">
        <f>(U199-S199)/S199</f>
        <v>6.1348012662158703E-2</v>
      </c>
      <c r="W199" s="236">
        <v>161.76179623045132</v>
      </c>
      <c r="X199" s="138">
        <f>(W199-U199)/U199</f>
        <v>3.6813909661840193E-2</v>
      </c>
      <c r="Y199" s="236">
        <v>153.33097039970264</v>
      </c>
      <c r="Z199" s="138">
        <f>(Y199-W199)/W199</f>
        <v>-5.2118769865400406E-2</v>
      </c>
      <c r="AA199" s="236">
        <v>157.23670940191786</v>
      </c>
      <c r="AB199" s="138">
        <f>(AA199-Y199)/Y199</f>
        <v>2.5472603427955622E-2</v>
      </c>
      <c r="AC199" s="236">
        <v>158</v>
      </c>
      <c r="AD199" s="138">
        <f>(AC199-AA199)/AA199</f>
        <v>4.8544045533989418E-3</v>
      </c>
      <c r="AE199" s="236">
        <v>178</v>
      </c>
      <c r="AF199" s="138">
        <f>(AE199-AC199)/AC199</f>
        <v>0.12658227848101267</v>
      </c>
      <c r="AG199" s="236">
        <v>207</v>
      </c>
      <c r="AH199" s="138">
        <f>(AG199-AE199)/AE199</f>
        <v>0.16292134831460675</v>
      </c>
      <c r="AI199" s="236">
        <v>206</v>
      </c>
      <c r="AJ199" s="138">
        <f t="shared" si="82"/>
        <v>-4.830917874396135E-3</v>
      </c>
      <c r="AK199" s="236">
        <v>206</v>
      </c>
      <c r="AL199" s="138">
        <f t="shared" si="83"/>
        <v>0</v>
      </c>
      <c r="AM199" s="236">
        <v>208.14207114690379</v>
      </c>
      <c r="AN199" s="138">
        <f t="shared" si="84"/>
        <v>1.0398403625746545E-2</v>
      </c>
      <c r="AO199" s="135" t="str">
        <f t="shared" si="74"/>
        <v xml:space="preserve"> </v>
      </c>
      <c r="AP199" s="271">
        <f t="shared" si="85"/>
        <v>5.9014222509393963E-2</v>
      </c>
    </row>
    <row r="200" spans="1:42" x14ac:dyDescent="0.2">
      <c r="A200" s="3" t="s">
        <v>226</v>
      </c>
      <c r="B200" s="5"/>
      <c r="C200" s="5">
        <v>1333</v>
      </c>
      <c r="D200" s="138"/>
      <c r="E200" s="5">
        <v>1360</v>
      </c>
      <c r="F200" s="138">
        <f>(E200-C200)/C200</f>
        <v>2.0255063765941484E-2</v>
      </c>
      <c r="G200" s="5">
        <v>1430</v>
      </c>
      <c r="H200" s="138">
        <f>(G200-E200)/E200</f>
        <v>5.1470588235294115E-2</v>
      </c>
      <c r="I200" s="5">
        <v>1440</v>
      </c>
      <c r="J200" s="138">
        <f>(I200-G200)/G200</f>
        <v>6.993006993006993E-3</v>
      </c>
      <c r="K200" s="5">
        <v>1184.2423920499532</v>
      </c>
      <c r="L200" s="138">
        <f>(K200-I200)/I200</f>
        <v>-0.17760944996531028</v>
      </c>
      <c r="M200" s="5">
        <v>1059</v>
      </c>
      <c r="N200" s="138">
        <f>(M200-K200)/K200</f>
        <v>-0.10575739636642756</v>
      </c>
      <c r="O200" s="5">
        <v>1070.6036386935195</v>
      </c>
      <c r="P200" s="138">
        <f>(O200-M200)/M200</f>
        <v>1.0957165905117604E-2</v>
      </c>
      <c r="Q200" s="5">
        <v>1066</v>
      </c>
      <c r="R200" s="138">
        <f>(Q200-O200)/O200</f>
        <v>-4.3000402082861034E-3</v>
      </c>
      <c r="S200" s="260">
        <v>1079</v>
      </c>
      <c r="T200" s="138">
        <f>(S200-Q200)/Q200</f>
        <v>1.2195121951219513E-2</v>
      </c>
      <c r="U200" s="236">
        <v>1109.2775175861575</v>
      </c>
      <c r="V200" s="138">
        <f>(U200-S200)/S200</f>
        <v>2.8060720654455515E-2</v>
      </c>
      <c r="W200" s="236">
        <v>1144.9400592970337</v>
      </c>
      <c r="X200" s="138">
        <f>(W200-U200)/U200</f>
        <v>3.2149341481723763E-2</v>
      </c>
      <c r="Y200" s="236">
        <v>1050.8456140690434</v>
      </c>
      <c r="Z200" s="138">
        <f>(Y200-W200)/W200</f>
        <v>-8.2182857053461858E-2</v>
      </c>
      <c r="AA200" s="236">
        <v>1128.2539942379203</v>
      </c>
      <c r="AB200" s="138">
        <f>(AA200-Y200)/Y200</f>
        <v>7.366294261736428E-2</v>
      </c>
      <c r="AC200" s="236">
        <v>1109</v>
      </c>
      <c r="AD200" s="138">
        <f>(AC200-AA200)/AA200</f>
        <v>-1.7065301196585121E-2</v>
      </c>
      <c r="AE200" s="236">
        <v>1215</v>
      </c>
      <c r="AF200" s="138">
        <f>(AE200-AC200)/AC200</f>
        <v>9.5581605049594232E-2</v>
      </c>
      <c r="AG200" s="236">
        <v>1168</v>
      </c>
      <c r="AH200" s="138">
        <f>(AG200-AE200)/AE200</f>
        <v>-3.868312757201646E-2</v>
      </c>
      <c r="AI200" s="236">
        <v>1175</v>
      </c>
      <c r="AJ200" s="138">
        <f t="shared" si="82"/>
        <v>5.9931506849315065E-3</v>
      </c>
      <c r="AK200" s="236">
        <v>1177</v>
      </c>
      <c r="AL200" s="138">
        <f t="shared" si="83"/>
        <v>1.7021276595744681E-3</v>
      </c>
      <c r="AM200" s="236">
        <v>1200.4154032060967</v>
      </c>
      <c r="AN200" s="138">
        <f t="shared" si="84"/>
        <v>1.9894140362019284E-2</v>
      </c>
      <c r="AO200" s="135" t="str">
        <f t="shared" si="74"/>
        <v xml:space="preserve"> </v>
      </c>
      <c r="AP200" s="271">
        <f t="shared" si="85"/>
        <v>1.6897579236820608E-2</v>
      </c>
    </row>
    <row r="201" spans="1:42" x14ac:dyDescent="0.2">
      <c r="A201" s="3" t="s">
        <v>227</v>
      </c>
      <c r="B201" s="139"/>
      <c r="C201" s="139">
        <v>463</v>
      </c>
      <c r="D201" s="138"/>
      <c r="E201" s="5">
        <v>470</v>
      </c>
      <c r="F201" s="138">
        <f>(E201-C201)/C201</f>
        <v>1.511879049676026E-2</v>
      </c>
      <c r="G201" s="5">
        <v>490</v>
      </c>
      <c r="H201" s="138">
        <f>(G201-E201)/E201</f>
        <v>4.2553191489361701E-2</v>
      </c>
      <c r="I201" s="5">
        <v>490</v>
      </c>
      <c r="J201" s="138">
        <f>(I201-G201)/G201</f>
        <v>0</v>
      </c>
      <c r="K201" s="5">
        <v>404.42131984272913</v>
      </c>
      <c r="L201" s="138">
        <f>(K201-I201)/I201</f>
        <v>-0.17465036766789974</v>
      </c>
      <c r="M201" s="5">
        <v>366</v>
      </c>
      <c r="N201" s="138">
        <f>(M201-K201)/K201</f>
        <v>-9.5003200765158391E-2</v>
      </c>
      <c r="O201" s="5">
        <v>372.81167649873936</v>
      </c>
      <c r="P201" s="138">
        <f>(O201-M201)/M201</f>
        <v>1.8611137974697704E-2</v>
      </c>
      <c r="Q201" s="5">
        <v>372</v>
      </c>
      <c r="R201" s="138">
        <f>(Q201-O201)/O201</f>
        <v>-2.1771756355976261E-3</v>
      </c>
      <c r="S201" s="260">
        <v>379</v>
      </c>
      <c r="T201" s="138">
        <f>(S201-Q201)/Q201</f>
        <v>1.8817204301075269E-2</v>
      </c>
      <c r="U201" s="236">
        <v>393.76011269766076</v>
      </c>
      <c r="V201" s="138">
        <f>(U201-S201)/S201</f>
        <v>3.8944888384329177E-2</v>
      </c>
      <c r="W201" s="236">
        <v>405.08453087151821</v>
      </c>
      <c r="X201" s="138">
        <f>(W201-U201)/U201</f>
        <v>2.8759688471931728E-2</v>
      </c>
      <c r="Y201" s="236">
        <v>373.63408879007989</v>
      </c>
      <c r="Z201" s="138">
        <f>(Y201-W201)/W201</f>
        <v>-7.7639207830954057E-2</v>
      </c>
      <c r="AA201" s="236">
        <v>407.16723180000008</v>
      </c>
      <c r="AB201" s="138">
        <f>(AA201-Y201)/Y201</f>
        <v>8.9748617741247469E-2</v>
      </c>
      <c r="AC201" s="236">
        <v>402</v>
      </c>
      <c r="AD201" s="138">
        <f>(AC201-AA201)/AA201</f>
        <v>-1.2690686765624149E-2</v>
      </c>
      <c r="AE201" s="236">
        <v>437</v>
      </c>
      <c r="AF201" s="138">
        <f>(AE201-AC201)/AC201</f>
        <v>8.7064676616915429E-2</v>
      </c>
      <c r="AG201" s="236">
        <v>420</v>
      </c>
      <c r="AH201" s="138">
        <f>(AG201-AE201)/AE201</f>
        <v>-3.8901601830663615E-2</v>
      </c>
      <c r="AI201" s="236">
        <v>418</v>
      </c>
      <c r="AJ201" s="138">
        <f t="shared" si="82"/>
        <v>-4.7619047619047623E-3</v>
      </c>
      <c r="AK201" s="236">
        <v>424</v>
      </c>
      <c r="AL201" s="138">
        <f t="shared" si="83"/>
        <v>1.4354066985645933E-2</v>
      </c>
      <c r="AM201" s="236">
        <v>429.14799614273016</v>
      </c>
      <c r="AN201" s="138">
        <f t="shared" si="84"/>
        <v>1.2141500336627746E-2</v>
      </c>
      <c r="AO201" s="135" t="str">
        <f t="shared" si="74"/>
        <v xml:space="preserve"> </v>
      </c>
      <c r="AP201" s="271">
        <f t="shared" si="85"/>
        <v>1.3979347469324147E-2</v>
      </c>
    </row>
    <row r="202" spans="1:42" x14ac:dyDescent="0.2">
      <c r="A202" s="3" t="s">
        <v>228</v>
      </c>
      <c r="B202" s="139"/>
      <c r="C202" s="139"/>
      <c r="D202" s="138"/>
      <c r="E202" s="5"/>
      <c r="F202" s="138"/>
      <c r="G202" s="5"/>
      <c r="H202" s="138"/>
      <c r="J202" s="138"/>
      <c r="L202" s="138"/>
      <c r="N202" s="138"/>
      <c r="P202" s="138"/>
      <c r="R202" s="138"/>
      <c r="S202" s="260"/>
      <c r="T202" s="138"/>
      <c r="V202" s="138"/>
      <c r="X202" s="138"/>
      <c r="Z202" s="138"/>
      <c r="AB202" s="138"/>
      <c r="AD202" s="138"/>
      <c r="AF202" s="138"/>
      <c r="AH202" s="138"/>
      <c r="AJ202" s="138"/>
      <c r="AL202" s="138"/>
      <c r="AM202" s="236"/>
      <c r="AN202" s="138"/>
      <c r="AP202" s="271"/>
    </row>
    <row r="203" spans="1:42" x14ac:dyDescent="0.2">
      <c r="B203" s="139"/>
      <c r="C203" s="139"/>
      <c r="D203" s="5"/>
      <c r="E203" s="5"/>
      <c r="F203" s="5"/>
      <c r="G203" s="5"/>
      <c r="H203" s="5"/>
      <c r="J203" s="5"/>
      <c r="L203" s="5"/>
      <c r="N203" s="5"/>
      <c r="P203" s="5"/>
      <c r="R203" s="5"/>
      <c r="S203" s="260"/>
      <c r="T203" s="5"/>
      <c r="V203" s="5"/>
      <c r="X203" s="5"/>
      <c r="Z203" s="5"/>
      <c r="AB203" s="5"/>
      <c r="AD203" s="5"/>
      <c r="AF203" s="5"/>
      <c r="AH203" s="5"/>
      <c r="AJ203" s="5"/>
      <c r="AL203" s="5"/>
      <c r="AM203" s="5"/>
      <c r="AN203" s="5"/>
    </row>
    <row r="204" spans="1:42" x14ac:dyDescent="0.2">
      <c r="B204" s="139"/>
      <c r="C204" s="139"/>
      <c r="D204" s="5"/>
      <c r="E204" s="139"/>
      <c r="F204" s="5"/>
      <c r="G204" s="139"/>
      <c r="H204" s="5"/>
      <c r="J204" s="5"/>
      <c r="L204" s="5"/>
      <c r="N204" s="5"/>
      <c r="P204" s="5"/>
      <c r="R204" s="5"/>
      <c r="S204" s="260"/>
      <c r="T204" s="5"/>
      <c r="V204" s="5"/>
      <c r="X204" s="5"/>
      <c r="Z204" s="5"/>
      <c r="AB204" s="5"/>
      <c r="AD204" s="5"/>
      <c r="AF204" s="5"/>
      <c r="AH204" s="5"/>
      <c r="AJ204" s="5"/>
      <c r="AL204" s="5"/>
      <c r="AM204" s="5"/>
      <c r="AN204" s="5"/>
    </row>
    <row r="205" spans="1:42" x14ac:dyDescent="0.2">
      <c r="B205" s="139"/>
      <c r="C205" s="139"/>
      <c r="D205" s="5"/>
      <c r="E205" s="139"/>
      <c r="F205" s="5"/>
      <c r="G205" s="139"/>
      <c r="H205" s="5"/>
      <c r="J205" s="5"/>
      <c r="L205" s="5"/>
      <c r="N205" s="5"/>
      <c r="P205" s="5"/>
      <c r="R205" s="5"/>
      <c r="S205" s="260"/>
      <c r="T205" s="5"/>
      <c r="V205" s="5"/>
      <c r="X205" s="5"/>
      <c r="Z205" s="5"/>
      <c r="AB205" s="5"/>
      <c r="AD205" s="5"/>
      <c r="AF205" s="5"/>
      <c r="AH205" s="5"/>
      <c r="AJ205" s="5"/>
      <c r="AL205" s="5"/>
      <c r="AM205" s="5"/>
      <c r="AN205" s="5"/>
    </row>
    <row r="206" spans="1:42" x14ac:dyDescent="0.2">
      <c r="B206" s="139"/>
      <c r="C206" s="139"/>
      <c r="D206" s="5"/>
      <c r="E206" s="139"/>
      <c r="F206" s="5"/>
      <c r="G206" s="139"/>
      <c r="H206" s="5"/>
      <c r="J206" s="5"/>
      <c r="L206" s="5"/>
      <c r="N206" s="5"/>
      <c r="P206" s="5"/>
      <c r="R206" s="5"/>
      <c r="S206" s="260"/>
      <c r="T206" s="5"/>
      <c r="V206" s="5"/>
      <c r="X206" s="5"/>
      <c r="Z206" s="5"/>
      <c r="AB206" s="5"/>
      <c r="AD206" s="5"/>
      <c r="AF206" s="5"/>
      <c r="AH206" s="5"/>
      <c r="AJ206" s="5"/>
      <c r="AL206" s="5"/>
      <c r="AM206" s="5"/>
      <c r="AN206" s="5"/>
    </row>
    <row r="207" spans="1:42" x14ac:dyDescent="0.2">
      <c r="B207" s="5"/>
      <c r="C207" s="5"/>
      <c r="D207" s="5"/>
      <c r="E207" s="139"/>
      <c r="F207" s="5"/>
      <c r="G207" s="139"/>
      <c r="H207" s="5"/>
      <c r="J207" s="5"/>
      <c r="L207" s="5"/>
      <c r="N207" s="5"/>
      <c r="P207" s="5"/>
      <c r="R207" s="5"/>
      <c r="S207" s="260"/>
      <c r="T207" s="5"/>
      <c r="V207" s="5"/>
      <c r="X207" s="5"/>
      <c r="Z207" s="5"/>
      <c r="AB207" s="5"/>
      <c r="AD207" s="5"/>
      <c r="AF207" s="5"/>
      <c r="AH207" s="5"/>
      <c r="AJ207" s="5"/>
      <c r="AL207" s="5"/>
      <c r="AM207" s="5"/>
      <c r="AN207" s="5"/>
    </row>
    <row r="208" spans="1:42" x14ac:dyDescent="0.2">
      <c r="B208" s="5"/>
      <c r="C208" s="5"/>
      <c r="D208" s="5"/>
      <c r="E208" s="139"/>
      <c r="F208" s="5"/>
      <c r="G208" s="139"/>
      <c r="H208" s="5"/>
      <c r="J208" s="5"/>
      <c r="L208" s="5"/>
      <c r="N208" s="5"/>
      <c r="P208" s="5"/>
      <c r="R208" s="5"/>
      <c r="S208" s="260"/>
      <c r="T208" s="5"/>
      <c r="V208" s="5"/>
      <c r="X208" s="5"/>
      <c r="Z208" s="5"/>
      <c r="AB208" s="5"/>
      <c r="AD208" s="5"/>
      <c r="AF208" s="5"/>
      <c r="AH208" s="5"/>
      <c r="AJ208" s="5"/>
      <c r="AL208" s="5"/>
      <c r="AM208" s="5"/>
      <c r="AN208" s="5"/>
    </row>
    <row r="209" spans="1:40" x14ac:dyDescent="0.2">
      <c r="B209" s="5"/>
      <c r="C209" s="5"/>
      <c r="D209" s="5"/>
      <c r="E209" s="139"/>
      <c r="F209" s="5"/>
      <c r="G209" s="139"/>
      <c r="H209" s="5"/>
      <c r="J209" s="5"/>
      <c r="L209" s="5"/>
      <c r="N209" s="5"/>
      <c r="P209" s="5"/>
      <c r="R209" s="5"/>
      <c r="S209" s="260"/>
      <c r="T209" s="5"/>
      <c r="V209" s="5"/>
      <c r="X209" s="5"/>
      <c r="Z209" s="5"/>
      <c r="AB209" s="5"/>
      <c r="AD209" s="5"/>
      <c r="AF209" s="5"/>
      <c r="AH209" s="5"/>
      <c r="AJ209" s="5"/>
      <c r="AL209" s="5"/>
      <c r="AM209" s="5"/>
      <c r="AN209" s="5"/>
    </row>
    <row r="210" spans="1:40" x14ac:dyDescent="0.2">
      <c r="D210" s="5"/>
      <c r="E210" s="5"/>
      <c r="F210" s="5"/>
      <c r="G210" s="5"/>
      <c r="H210" s="5"/>
      <c r="J210" s="5"/>
      <c r="L210" s="5"/>
      <c r="N210" s="5"/>
      <c r="P210" s="5"/>
      <c r="R210" s="5"/>
      <c r="S210" s="260"/>
      <c r="T210" s="5"/>
      <c r="V210" s="5"/>
      <c r="X210" s="5"/>
      <c r="Z210" s="5"/>
      <c r="AB210" s="5"/>
      <c r="AD210" s="5"/>
      <c r="AF210" s="5"/>
      <c r="AH210" s="5"/>
      <c r="AJ210" s="5"/>
      <c r="AL210" s="5"/>
      <c r="AM210" s="5"/>
      <c r="AN210" s="5"/>
    </row>
    <row r="211" spans="1:40" x14ac:dyDescent="0.2">
      <c r="A211" s="16"/>
      <c r="D211" s="5"/>
      <c r="E211" s="5"/>
      <c r="F211" s="5"/>
      <c r="G211" s="5"/>
      <c r="H211" s="5"/>
      <c r="J211" s="5"/>
      <c r="L211" s="5"/>
      <c r="N211" s="5"/>
      <c r="P211" s="5"/>
      <c r="R211" s="5"/>
      <c r="S211" s="260"/>
      <c r="T211" s="5"/>
      <c r="V211" s="5"/>
      <c r="X211" s="5"/>
      <c r="Z211" s="5"/>
      <c r="AB211" s="5"/>
      <c r="AD211" s="5"/>
      <c r="AF211" s="5"/>
      <c r="AH211" s="5"/>
      <c r="AJ211" s="5"/>
      <c r="AL211" s="5"/>
      <c r="AM211" s="5"/>
      <c r="AN211" s="5"/>
    </row>
    <row r="212" spans="1:40" x14ac:dyDescent="0.2">
      <c r="E212" s="5"/>
      <c r="G212" s="5"/>
    </row>
    <row r="218" spans="1:40" x14ac:dyDescent="0.2">
      <c r="A218" s="3" t="str">
        <f ca="1">CELL("FILENAME")</f>
        <v>S:\Div - DOAS\Local Government Finance\REVENUE PROJECTIONS\Printing copy\FY 2015-16\FINAL PROJECTIONS FY 2015-16\[PART D (Revised 3-27-15).xlsx]REV SUMMARY</v>
      </c>
    </row>
  </sheetData>
  <phoneticPr fontId="0" type="noConversion"/>
  <printOptions horizontalCentered="1" verticalCentered="1"/>
  <pageMargins left="0.75" right="0.75" top="1" bottom="1" header="0.5" footer="0.5"/>
  <pageSetup scale="80" firstPageNumber="44" orientation="landscape" useFirstPageNumber="1" r:id="rId1"/>
  <headerFooter alignWithMargins="0">
    <oddHeader xml:space="preserve">&amp;CPOPULATION DATA BASE
</oddHeader>
    <oddFooter>&amp;LADMINISTRATIVE SERVICES DIVISION, 3/15/15
&amp;RD-&amp;P</oddFooter>
  </headerFooter>
  <rowBreaks count="5" manualBreakCount="5">
    <brk id="43" max="16383" man="1"/>
    <brk id="73" max="16383" man="1"/>
    <brk id="113" max="16383" man="1"/>
    <brk id="148" max="25" man="1"/>
    <brk id="18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0"/>
  <sheetViews>
    <sheetView zoomScaleNormal="100" workbookViewId="0">
      <selection activeCell="H35" sqref="H35"/>
    </sheetView>
  </sheetViews>
  <sheetFormatPr defaultRowHeight="12.75" x14ac:dyDescent="0.2"/>
  <cols>
    <col min="1" max="1" width="16.7109375" style="103" customWidth="1"/>
    <col min="2" max="8" width="14.7109375" style="103" customWidth="1"/>
    <col min="9" max="11" width="9.140625" style="103"/>
    <col min="12" max="12" width="12.28515625" style="103" bestFit="1" customWidth="1"/>
    <col min="13" max="16384" width="9.140625" style="103"/>
  </cols>
  <sheetData>
    <row r="1" spans="1:12" ht="13.5" customHeight="1" x14ac:dyDescent="0.2">
      <c r="A1" s="103" t="s">
        <v>372</v>
      </c>
      <c r="F1" s="161"/>
    </row>
    <row r="3" spans="1:12" x14ac:dyDescent="0.2">
      <c r="B3" s="235" t="s">
        <v>23</v>
      </c>
      <c r="C3" s="235" t="s">
        <v>403</v>
      </c>
      <c r="D3" s="235" t="s">
        <v>404</v>
      </c>
      <c r="E3" s="235" t="s">
        <v>24</v>
      </c>
      <c r="F3" s="235" t="s">
        <v>25</v>
      </c>
      <c r="G3" s="235" t="s">
        <v>26</v>
      </c>
      <c r="H3" s="235" t="s">
        <v>27</v>
      </c>
    </row>
    <row r="4" spans="1:12" x14ac:dyDescent="0.2">
      <c r="A4" s="103" t="s">
        <v>105</v>
      </c>
      <c r="E4" s="146"/>
      <c r="G4" s="104"/>
    </row>
    <row r="5" spans="1:12" x14ac:dyDescent="0.2">
      <c r="B5" s="369"/>
      <c r="C5" s="369"/>
      <c r="D5" s="146" t="s">
        <v>405</v>
      </c>
      <c r="E5" s="104" t="s">
        <v>406</v>
      </c>
      <c r="F5" s="104" t="s">
        <v>406</v>
      </c>
      <c r="G5" s="104" t="s">
        <v>406</v>
      </c>
      <c r="H5" s="146" t="s">
        <v>406</v>
      </c>
    </row>
    <row r="6" spans="1:12" x14ac:dyDescent="0.2">
      <c r="B6" s="284" t="s">
        <v>511</v>
      </c>
      <c r="C6" s="284" t="s">
        <v>515</v>
      </c>
      <c r="D6" s="104" t="s">
        <v>0</v>
      </c>
      <c r="E6" s="104" t="s">
        <v>35</v>
      </c>
      <c r="F6" s="285" t="s">
        <v>526</v>
      </c>
      <c r="G6" s="104" t="s">
        <v>35</v>
      </c>
      <c r="H6" s="104" t="s">
        <v>0</v>
      </c>
    </row>
    <row r="7" spans="1:12" x14ac:dyDescent="0.2">
      <c r="A7" s="146"/>
      <c r="B7" s="104" t="s">
        <v>0</v>
      </c>
      <c r="C7" s="104" t="s">
        <v>0</v>
      </c>
      <c r="D7" s="104" t="s">
        <v>408</v>
      </c>
      <c r="E7" s="104" t="s">
        <v>101</v>
      </c>
      <c r="F7" s="104" t="s">
        <v>0</v>
      </c>
      <c r="G7" s="104" t="s">
        <v>101</v>
      </c>
      <c r="H7" s="104" t="s">
        <v>408</v>
      </c>
    </row>
    <row r="8" spans="1:12" x14ac:dyDescent="0.2">
      <c r="A8" s="105" t="s">
        <v>362</v>
      </c>
      <c r="B8" s="105" t="s">
        <v>408</v>
      </c>
      <c r="C8" s="105" t="s">
        <v>408</v>
      </c>
      <c r="D8" s="147" t="s">
        <v>515</v>
      </c>
      <c r="E8" s="147" t="s">
        <v>526</v>
      </c>
      <c r="F8" s="105" t="s">
        <v>408</v>
      </c>
      <c r="G8" s="147" t="s">
        <v>545</v>
      </c>
      <c r="H8" s="147" t="s">
        <v>545</v>
      </c>
    </row>
    <row r="9" spans="1:12" x14ac:dyDescent="0.2">
      <c r="B9" s="147"/>
      <c r="C9" s="147"/>
      <c r="D9" s="147"/>
      <c r="F9" s="147"/>
      <c r="G9" s="147"/>
    </row>
    <row r="11" spans="1:12" x14ac:dyDescent="0.2">
      <c r="A11" s="103" t="s">
        <v>6</v>
      </c>
      <c r="B11" s="286">
        <v>3986047.29</v>
      </c>
      <c r="C11" s="286">
        <v>4112717.5</v>
      </c>
      <c r="D11" s="149">
        <v>3.1778401204065984E-2</v>
      </c>
      <c r="E11" s="368">
        <v>0.06</v>
      </c>
      <c r="F11" s="353">
        <v>4359480.55</v>
      </c>
      <c r="G11" s="368">
        <v>0.04</v>
      </c>
      <c r="H11" s="281">
        <v>4533859.7719999999</v>
      </c>
    </row>
    <row r="12" spans="1:12" x14ac:dyDescent="0.2">
      <c r="A12" s="103" t="s">
        <v>7</v>
      </c>
      <c r="B12" s="286">
        <v>1280043.48</v>
      </c>
      <c r="C12" s="286">
        <v>1282639.6599999999</v>
      </c>
      <c r="D12" s="149">
        <v>2.0281967296922874E-3</v>
      </c>
      <c r="E12" s="368">
        <v>0.06</v>
      </c>
      <c r="F12" s="353">
        <v>1359598.0396</v>
      </c>
      <c r="G12" s="368">
        <v>0.05</v>
      </c>
      <c r="H12" s="281">
        <v>1427577.9415800001</v>
      </c>
    </row>
    <row r="13" spans="1:12" x14ac:dyDescent="0.2">
      <c r="A13" s="103" t="s">
        <v>8</v>
      </c>
      <c r="B13" s="286">
        <v>160756560.57999995</v>
      </c>
      <c r="C13" s="286">
        <v>171707919.01999998</v>
      </c>
      <c r="D13" s="149">
        <v>6.8123866301245742E-2</v>
      </c>
      <c r="E13" s="368">
        <v>0.05</v>
      </c>
      <c r="F13" s="353">
        <v>180293314.97099999</v>
      </c>
      <c r="G13" s="368">
        <v>0.04</v>
      </c>
      <c r="H13" s="281">
        <v>187505047.56983998</v>
      </c>
    </row>
    <row r="14" spans="1:12" x14ac:dyDescent="0.2">
      <c r="A14" s="103" t="s">
        <v>9</v>
      </c>
      <c r="B14" s="286">
        <v>3018304.9800000004</v>
      </c>
      <c r="C14" s="286">
        <v>3182649.28</v>
      </c>
      <c r="D14" s="149">
        <v>5.4449202810512319E-2</v>
      </c>
      <c r="E14" s="368">
        <v>0.02</v>
      </c>
      <c r="F14" s="353">
        <v>3246302.2656</v>
      </c>
      <c r="G14" s="368">
        <v>0.03</v>
      </c>
      <c r="H14" s="281">
        <v>3343691.3335680002</v>
      </c>
    </row>
    <row r="15" spans="1:12" x14ac:dyDescent="0.2">
      <c r="A15" s="103" t="s">
        <v>10</v>
      </c>
      <c r="B15" s="286">
        <v>6921274.0999999996</v>
      </c>
      <c r="C15" s="286">
        <v>6179687.9399999995</v>
      </c>
      <c r="D15" s="149">
        <v>-0.1071459025152609</v>
      </c>
      <c r="E15" s="368">
        <v>0.02</v>
      </c>
      <c r="F15" s="353">
        <v>6303281.6987999994</v>
      </c>
      <c r="G15" s="368">
        <v>0.02</v>
      </c>
      <c r="H15" s="281">
        <v>6429347.3327759998</v>
      </c>
      <c r="L15" s="150"/>
    </row>
    <row r="16" spans="1:12" x14ac:dyDescent="0.2">
      <c r="A16" s="103" t="s">
        <v>11</v>
      </c>
      <c r="B16" s="286">
        <v>88544.18</v>
      </c>
      <c r="C16" s="286">
        <v>70681.88</v>
      </c>
      <c r="D16" s="149">
        <v>-0.20173319127242456</v>
      </c>
      <c r="E16" s="368">
        <v>0.45</v>
      </c>
      <c r="F16" s="353">
        <v>102488.72600000001</v>
      </c>
      <c r="G16" s="368">
        <v>0.05</v>
      </c>
      <c r="H16" s="281">
        <v>107613.16230000001</v>
      </c>
      <c r="L16" s="150"/>
    </row>
    <row r="17" spans="1:12" x14ac:dyDescent="0.2">
      <c r="A17" s="103" t="s">
        <v>12</v>
      </c>
      <c r="B17" s="286">
        <v>1467619.83</v>
      </c>
      <c r="C17" s="286">
        <v>1189879.24</v>
      </c>
      <c r="D17" s="149">
        <v>-0.18924559638854163</v>
      </c>
      <c r="E17" s="368">
        <v>-0.2</v>
      </c>
      <c r="F17" s="353">
        <v>951903.39199999999</v>
      </c>
      <c r="G17" s="368">
        <v>0</v>
      </c>
      <c r="H17" s="281">
        <v>951903.39199999999</v>
      </c>
      <c r="L17" s="149"/>
    </row>
    <row r="18" spans="1:12" x14ac:dyDescent="0.2">
      <c r="A18" s="103" t="s">
        <v>13</v>
      </c>
      <c r="B18" s="286">
        <v>3853221.5500000003</v>
      </c>
      <c r="C18" s="286">
        <v>3417103.9599999995</v>
      </c>
      <c r="D18" s="149">
        <v>-0.11318258873539228</v>
      </c>
      <c r="E18" s="368">
        <v>0</v>
      </c>
      <c r="F18" s="353">
        <v>3417103.9599999995</v>
      </c>
      <c r="G18" s="368">
        <v>0.01</v>
      </c>
      <c r="H18" s="281">
        <v>3451274.9995999993</v>
      </c>
      <c r="L18" s="150"/>
    </row>
    <row r="19" spans="1:12" x14ac:dyDescent="0.2">
      <c r="A19" s="103" t="s">
        <v>14</v>
      </c>
      <c r="B19" s="286">
        <v>1927673.1800000002</v>
      </c>
      <c r="C19" s="286">
        <v>1229430.3400000001</v>
      </c>
      <c r="D19" s="149">
        <v>-0.36222055026983363</v>
      </c>
      <c r="E19" s="368">
        <v>-0.05</v>
      </c>
      <c r="F19" s="353">
        <v>1167958.8230000001</v>
      </c>
      <c r="G19" s="368">
        <v>-0.05</v>
      </c>
      <c r="H19" s="281">
        <v>1109560.88185</v>
      </c>
      <c r="L19" s="150"/>
    </row>
    <row r="20" spans="1:12" x14ac:dyDescent="0.2">
      <c r="A20" s="310" t="s">
        <v>15</v>
      </c>
      <c r="B20" s="286">
        <v>134869.22</v>
      </c>
      <c r="C20" s="286">
        <v>141411.59</v>
      </c>
      <c r="D20" s="149">
        <v>4.8508992637460169E-2</v>
      </c>
      <c r="E20" s="368">
        <v>0.2</v>
      </c>
      <c r="F20" s="353">
        <v>169693.908</v>
      </c>
      <c r="G20" s="368">
        <v>0.05</v>
      </c>
      <c r="H20" s="281">
        <v>178178.60339999999</v>
      </c>
    </row>
    <row r="21" spans="1:12" x14ac:dyDescent="0.2">
      <c r="A21" s="103" t="s">
        <v>16</v>
      </c>
      <c r="B21" s="286">
        <v>1840262.0799999998</v>
      </c>
      <c r="C21" s="286">
        <v>1895072.6199999999</v>
      </c>
      <c r="D21" s="149">
        <v>2.9784094665472889E-2</v>
      </c>
      <c r="E21" s="368">
        <v>5.5E-2</v>
      </c>
      <c r="F21" s="353">
        <v>1999301.6140999997</v>
      </c>
      <c r="G21" s="368">
        <v>0.02</v>
      </c>
      <c r="H21" s="281">
        <v>2039287.6463819996</v>
      </c>
    </row>
    <row r="22" spans="1:12" x14ac:dyDescent="0.2">
      <c r="A22" s="103" t="s">
        <v>17</v>
      </c>
      <c r="B22" s="286">
        <v>252213.22</v>
      </c>
      <c r="C22" s="286">
        <v>240748.43</v>
      </c>
      <c r="D22" s="149">
        <v>-4.5456736962479635E-2</v>
      </c>
      <c r="E22" s="368">
        <v>0.04</v>
      </c>
      <c r="F22" s="353">
        <v>250378.36720000001</v>
      </c>
      <c r="G22" s="368">
        <v>0.01</v>
      </c>
      <c r="H22" s="281">
        <v>252882.150872</v>
      </c>
    </row>
    <row r="23" spans="1:12" x14ac:dyDescent="0.2">
      <c r="A23" s="103" t="s">
        <v>18</v>
      </c>
      <c r="B23" s="286">
        <v>2612270.12</v>
      </c>
      <c r="C23" s="286">
        <v>2475066.7199999997</v>
      </c>
      <c r="D23" s="149">
        <v>-5.2522669439713364E-2</v>
      </c>
      <c r="E23" s="368">
        <v>0</v>
      </c>
      <c r="F23" s="353">
        <v>2475066.7199999997</v>
      </c>
      <c r="G23" s="368">
        <v>0.01</v>
      </c>
      <c r="H23" s="281">
        <v>2499817.3871999998</v>
      </c>
    </row>
    <row r="24" spans="1:12" x14ac:dyDescent="0.2">
      <c r="A24" s="103" t="s">
        <v>19</v>
      </c>
      <c r="B24" s="286">
        <v>408219</v>
      </c>
      <c r="C24" s="286">
        <v>414803.90999999992</v>
      </c>
      <c r="D24" s="149">
        <v>1.6130826835595392E-2</v>
      </c>
      <c r="E24" s="368">
        <v>-0.13</v>
      </c>
      <c r="F24" s="353">
        <v>360879.40169999993</v>
      </c>
      <c r="G24" s="368">
        <v>0.05</v>
      </c>
      <c r="H24" s="281">
        <v>378923.37178499991</v>
      </c>
    </row>
    <row r="25" spans="1:12" x14ac:dyDescent="0.2">
      <c r="A25" s="103" t="s">
        <v>20</v>
      </c>
      <c r="B25" s="286">
        <v>341361.82999999996</v>
      </c>
      <c r="C25" s="286">
        <v>414199.38</v>
      </c>
      <c r="D25" s="149">
        <v>0.21337344600009925</v>
      </c>
      <c r="E25" s="368">
        <v>0.20499999999999999</v>
      </c>
      <c r="F25" s="353">
        <v>499110.25290000002</v>
      </c>
      <c r="G25" s="368">
        <v>-0.03</v>
      </c>
      <c r="H25" s="281">
        <v>484136.945313</v>
      </c>
    </row>
    <row r="26" spans="1:12" x14ac:dyDescent="0.2">
      <c r="A26" s="103" t="s">
        <v>21</v>
      </c>
      <c r="B26" s="286">
        <v>27618964.129999995</v>
      </c>
      <c r="C26" s="286">
        <v>29569544.07</v>
      </c>
      <c r="D26" s="149">
        <v>7.0624659593270758E-2</v>
      </c>
      <c r="E26" s="368">
        <v>0.05</v>
      </c>
      <c r="F26" s="353">
        <v>31048021.273500003</v>
      </c>
      <c r="G26" s="368">
        <v>0.04</v>
      </c>
      <c r="H26" s="281">
        <v>32289942.124440003</v>
      </c>
    </row>
    <row r="27" spans="1:12" ht="15" x14ac:dyDescent="0.35">
      <c r="A27" s="103" t="s">
        <v>22</v>
      </c>
      <c r="B27" s="286">
        <v>1168659.97</v>
      </c>
      <c r="C27" s="286">
        <v>1120364.04</v>
      </c>
      <c r="D27" s="149">
        <v>-4.1325904232006799E-2</v>
      </c>
      <c r="E27" s="368">
        <v>0.02</v>
      </c>
      <c r="F27" s="353">
        <v>1142771.3208000001</v>
      </c>
      <c r="G27" s="368">
        <v>0.01</v>
      </c>
      <c r="H27" s="282">
        <v>1154199.034008</v>
      </c>
      <c r="I27" s="107"/>
      <c r="J27" s="107"/>
    </row>
    <row r="28" spans="1:12" x14ac:dyDescent="0.2">
      <c r="C28" s="161"/>
      <c r="D28" s="149"/>
      <c r="E28" s="149"/>
      <c r="G28" s="149"/>
    </row>
    <row r="29" spans="1:12" x14ac:dyDescent="0.2">
      <c r="A29" s="152" t="s">
        <v>408</v>
      </c>
      <c r="B29" s="150">
        <v>217676108.74000001</v>
      </c>
      <c r="C29" s="249">
        <v>228643919.57999998</v>
      </c>
      <c r="D29" s="149">
        <v>5.0385919260897451E-2</v>
      </c>
      <c r="E29" s="154">
        <v>4.5934900536575209E-2</v>
      </c>
      <c r="F29" s="150">
        <v>239146655.28419998</v>
      </c>
      <c r="G29" s="154">
        <v>3.7594455812186262E-2</v>
      </c>
      <c r="H29" s="153">
        <v>248137243.64891398</v>
      </c>
    </row>
    <row r="30" spans="1:12" x14ac:dyDescent="0.2">
      <c r="B30" s="155"/>
      <c r="C30" s="250"/>
      <c r="D30" s="155"/>
      <c r="E30" s="110"/>
      <c r="F30" s="155"/>
      <c r="G30" s="155"/>
      <c r="H30" s="110"/>
    </row>
    <row r="31" spans="1:12" x14ac:dyDescent="0.2">
      <c r="B31" s="106"/>
      <c r="C31" s="194"/>
      <c r="D31" s="106"/>
      <c r="E31" s="104"/>
      <c r="F31" s="106"/>
      <c r="G31" s="106"/>
    </row>
    <row r="32" spans="1:12" x14ac:dyDescent="0.2">
      <c r="A32" s="103" t="s">
        <v>409</v>
      </c>
      <c r="B32" s="288">
        <v>3893046.16</v>
      </c>
      <c r="C32" s="288">
        <v>4088754.5800000005</v>
      </c>
      <c r="D32" s="106"/>
      <c r="E32" s="157"/>
      <c r="F32" s="288">
        <v>4259609.6361053437</v>
      </c>
      <c r="G32" s="106"/>
      <c r="H32" s="288">
        <v>4419747.3423470687</v>
      </c>
    </row>
    <row r="33" spans="1:8" x14ac:dyDescent="0.2">
      <c r="B33" s="106"/>
      <c r="C33" s="106"/>
      <c r="D33" s="106"/>
      <c r="F33" s="106"/>
      <c r="G33" s="106"/>
    </row>
    <row r="34" spans="1:8" x14ac:dyDescent="0.2">
      <c r="B34" s="106"/>
      <c r="C34" s="106"/>
      <c r="D34" s="106"/>
      <c r="F34" s="106"/>
      <c r="G34" s="106"/>
      <c r="H34" s="158"/>
    </row>
    <row r="35" spans="1:8" ht="13.5" thickBot="1" x14ac:dyDescent="0.25">
      <c r="A35" s="103" t="s">
        <v>5</v>
      </c>
      <c r="B35" s="109">
        <v>221569154.90000001</v>
      </c>
      <c r="C35" s="109">
        <v>232732674.16</v>
      </c>
      <c r="E35" s="120"/>
      <c r="F35" s="109">
        <v>243406264.92030531</v>
      </c>
      <c r="H35" s="109">
        <v>252556990.99126104</v>
      </c>
    </row>
    <row r="36" spans="1:8" ht="13.5" thickTop="1" x14ac:dyDescent="0.2">
      <c r="E36" s="110"/>
      <c r="H36" s="110"/>
    </row>
    <row r="37" spans="1:8" x14ac:dyDescent="0.2">
      <c r="A37" s="159"/>
    </row>
    <row r="40" spans="1:8" x14ac:dyDescent="0.2">
      <c r="A40" s="160"/>
      <c r="E40" s="272"/>
    </row>
  </sheetData>
  <phoneticPr fontId="0" type="noConversion"/>
  <printOptions horizontalCentered="1" verticalCentered="1"/>
  <pageMargins left="0.75" right="0.75" top="1" bottom="1" header="0.5" footer="0.5"/>
  <pageSetup firstPageNumber="3" orientation="landscape" useFirstPageNumber="1" r:id="rId1"/>
  <headerFooter alignWithMargins="0">
    <oddHeader>&amp;CBASIC CITY-COUNTY RELIEF TAX</oddHeader>
    <oddFooter>&amp;LADMINISTRATIVE SERVICES DIVISION, 3/15/15
&amp;RD-&amp;P</oddFooter>
  </headerFooter>
  <drawing r:id="rId2"/>
  <legacyDrawing r:id="rId3"/>
  <oleObjects>
    <mc:AlternateContent xmlns:mc="http://schemas.openxmlformats.org/markup-compatibility/2006">
      <mc:Choice Requires="x14">
        <oleObject progId="Word.Document.8" dvAspect="DVASPECT_ICON" shapeId="21505" r:id="rId4">
          <objectPr defaultSize="0" r:id="rId5">
            <anchor moveWithCells="1">
              <from>
                <xdr:col>1</xdr:col>
                <xdr:colOff>0</xdr:colOff>
                <xdr:row>47</xdr:row>
                <xdr:rowOff>9525</xdr:rowOff>
              </from>
              <to>
                <xdr:col>2</xdr:col>
                <xdr:colOff>66675</xdr:colOff>
                <xdr:row>50</xdr:row>
                <xdr:rowOff>114300</xdr:rowOff>
              </to>
            </anchor>
          </objectPr>
        </oleObject>
      </mc:Choice>
      <mc:Fallback>
        <oleObject progId="Word.Document.8" dvAspect="DVASPECT_ICON" shapeId="21505" r:id="rId4"/>
      </mc:Fallback>
    </mc:AlternateContent>
    <mc:AlternateContent xmlns:mc="http://schemas.openxmlformats.org/markup-compatibility/2006">
      <mc:Choice Requires="x14">
        <oleObject progId="Word.Document.8" dvAspect="DVASPECT_ICON" shapeId="21506" r:id="rId6">
          <objectPr defaultSize="0" r:id="rId5">
            <anchor moveWithCells="1">
              <from>
                <xdr:col>4</xdr:col>
                <xdr:colOff>0</xdr:colOff>
                <xdr:row>47</xdr:row>
                <xdr:rowOff>9525</xdr:rowOff>
              </from>
              <to>
                <xdr:col>5</xdr:col>
                <xdr:colOff>66675</xdr:colOff>
                <xdr:row>50</xdr:row>
                <xdr:rowOff>114300</xdr:rowOff>
              </to>
            </anchor>
          </objectPr>
        </oleObject>
      </mc:Choice>
      <mc:Fallback>
        <oleObject progId="Word.Document.8" dvAspect="DVASPECT_ICON" shapeId="21506"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R221"/>
  <sheetViews>
    <sheetView zoomScaleNormal="100" workbookViewId="0">
      <pane xSplit="32" ySplit="7" topLeftCell="AG8" activePane="bottomRight" state="frozen"/>
      <selection activeCell="O21" sqref="O21"/>
      <selection pane="topRight" activeCell="O21" sqref="O21"/>
      <selection pane="bottomLeft" activeCell="O21" sqref="O21"/>
      <selection pane="bottomRight" activeCell="B8" sqref="B8"/>
    </sheetView>
  </sheetViews>
  <sheetFormatPr defaultRowHeight="11.25" x14ac:dyDescent="0.2"/>
  <cols>
    <col min="1" max="1" width="17.42578125" style="3" customWidth="1"/>
    <col min="2" max="2" width="13.140625" style="321" customWidth="1"/>
    <col min="3" max="3" width="13.7109375" style="321" hidden="1" customWidth="1"/>
    <col min="4" max="4" width="15.7109375" style="3" hidden="1" customWidth="1"/>
    <col min="5" max="5" width="15.7109375" style="5" hidden="1" customWidth="1"/>
    <col min="6" max="6" width="12.7109375" style="3" hidden="1" customWidth="1"/>
    <col min="7" max="7" width="15.5703125" style="5" hidden="1" customWidth="1"/>
    <col min="8" max="8" width="12.5703125" style="5" hidden="1" customWidth="1"/>
    <col min="9" max="9" width="15.5703125" style="236" hidden="1" customWidth="1"/>
    <col min="10" max="10" width="12.5703125" style="5" hidden="1" customWidth="1"/>
    <col min="11" max="11" width="15.5703125" style="5" hidden="1" customWidth="1"/>
    <col min="12" max="12" width="12.5703125" style="5" hidden="1" customWidth="1"/>
    <col min="13" max="13" width="15.5703125" style="5" hidden="1" customWidth="1"/>
    <col min="14" max="14" width="12.5703125" style="5" hidden="1" customWidth="1"/>
    <col min="15" max="15" width="13.5703125" style="5" hidden="1" customWidth="1"/>
    <col min="16" max="16" width="12.5703125" style="5" hidden="1" customWidth="1"/>
    <col min="17" max="17" width="13.5703125" style="5" hidden="1" customWidth="1"/>
    <col min="18" max="18" width="12.5703125" style="5" hidden="1" customWidth="1"/>
    <col min="19" max="19" width="13.5703125" style="236" hidden="1" customWidth="1"/>
    <col min="20" max="20" width="12.5703125" style="5" hidden="1" customWidth="1"/>
    <col min="21" max="21" width="13.5703125" style="262" hidden="1" customWidth="1"/>
    <col min="22" max="22" width="12.5703125" style="5" hidden="1" customWidth="1"/>
    <col min="23" max="23" width="13.5703125" style="262" hidden="1" customWidth="1"/>
    <col min="24" max="24" width="12.5703125" style="5" hidden="1" customWidth="1"/>
    <col min="25" max="25" width="13.5703125" style="262" hidden="1" customWidth="1"/>
    <col min="26" max="26" width="12.5703125" style="5" hidden="1" customWidth="1"/>
    <col min="27" max="27" width="16" style="262" hidden="1" customWidth="1"/>
    <col min="28" max="28" width="12.5703125" style="5" hidden="1" customWidth="1"/>
    <col min="29" max="29" width="16" style="262" hidden="1" customWidth="1"/>
    <col min="30" max="30" width="12.5703125" style="5" hidden="1" customWidth="1"/>
    <col min="31" max="31" width="16" style="262" hidden="1" customWidth="1"/>
    <col min="32" max="32" width="12.5703125" style="5" hidden="1" customWidth="1"/>
    <col min="33" max="33" width="14.140625" style="262" bestFit="1" customWidth="1"/>
    <col min="34" max="34" width="12.5703125" style="5" customWidth="1"/>
    <col min="35" max="35" width="14.140625" style="262" bestFit="1" customWidth="1"/>
    <col min="36" max="36" width="12.5703125" style="5" customWidth="1"/>
    <col min="37" max="37" width="14.140625" style="262" bestFit="1" customWidth="1"/>
    <col min="38" max="38" width="12.5703125" style="5" customWidth="1"/>
    <col min="39" max="39" width="14.140625" style="262" bestFit="1" customWidth="1"/>
    <col min="40" max="40" width="12.5703125" style="5" customWidth="1"/>
    <col min="41" max="41" width="14.7109375" style="5" bestFit="1" customWidth="1"/>
    <col min="42" max="42" width="12.5703125" style="5" customWidth="1"/>
    <col min="43" max="16384" width="9.140625" style="3"/>
  </cols>
  <sheetData>
    <row r="1" spans="1:44" x14ac:dyDescent="0.2">
      <c r="A1" s="2"/>
      <c r="B1" s="322"/>
      <c r="D1" s="4"/>
    </row>
    <row r="2" spans="1:44" x14ac:dyDescent="0.2">
      <c r="A2" s="6"/>
      <c r="B2" s="313" t="s">
        <v>530</v>
      </c>
      <c r="D2" s="7" t="s">
        <v>95</v>
      </c>
      <c r="E2" s="8" t="s">
        <v>96</v>
      </c>
      <c r="G2" s="8" t="s">
        <v>97</v>
      </c>
      <c r="I2" s="245" t="s">
        <v>379</v>
      </c>
      <c r="K2" s="8" t="s">
        <v>384</v>
      </c>
      <c r="M2" s="8" t="s">
        <v>387</v>
      </c>
      <c r="O2" s="8" t="s">
        <v>471</v>
      </c>
      <c r="Q2" s="8" t="s">
        <v>487</v>
      </c>
      <c r="S2" s="245" t="s">
        <v>491</v>
      </c>
      <c r="U2" s="263" t="s">
        <v>495</v>
      </c>
      <c r="W2" s="263" t="s">
        <v>497</v>
      </c>
      <c r="Y2" s="263" t="s">
        <v>499</v>
      </c>
      <c r="AA2" s="263" t="s">
        <v>503</v>
      </c>
      <c r="AC2" s="263" t="s">
        <v>505</v>
      </c>
      <c r="AE2" s="263" t="s">
        <v>508</v>
      </c>
      <c r="AG2" s="263" t="s">
        <v>510</v>
      </c>
      <c r="AI2" s="263" t="s">
        <v>514</v>
      </c>
      <c r="AK2" s="263" t="s">
        <v>518</v>
      </c>
      <c r="AM2" s="263" t="s">
        <v>529</v>
      </c>
      <c r="AO2" s="263" t="s">
        <v>543</v>
      </c>
    </row>
    <row r="3" spans="1:44" ht="12.75" x14ac:dyDescent="0.2">
      <c r="B3" s="19" t="s">
        <v>81</v>
      </c>
      <c r="C3" s="313" t="s">
        <v>472</v>
      </c>
      <c r="D3" s="7" t="s">
        <v>81</v>
      </c>
      <c r="E3" s="9" t="s">
        <v>81</v>
      </c>
      <c r="G3" s="9" t="s">
        <v>81</v>
      </c>
      <c r="I3" s="244" t="s">
        <v>81</v>
      </c>
      <c r="K3" s="9" t="s">
        <v>81</v>
      </c>
      <c r="M3" s="9" t="s">
        <v>81</v>
      </c>
      <c r="O3" s="9" t="s">
        <v>81</v>
      </c>
      <c r="Q3" s="9" t="s">
        <v>81</v>
      </c>
      <c r="S3" s="244" t="s">
        <v>81</v>
      </c>
      <c r="U3" s="264" t="s">
        <v>81</v>
      </c>
      <c r="W3" s="264" t="s">
        <v>81</v>
      </c>
      <c r="Y3" s="264" t="s">
        <v>81</v>
      </c>
      <c r="AA3" s="264" t="s">
        <v>81</v>
      </c>
      <c r="AC3" s="264" t="s">
        <v>81</v>
      </c>
      <c r="AE3" s="264" t="s">
        <v>81</v>
      </c>
      <c r="AG3" s="264" t="s">
        <v>81</v>
      </c>
      <c r="AI3" s="264" t="s">
        <v>81</v>
      </c>
      <c r="AK3" s="264" t="s">
        <v>81</v>
      </c>
      <c r="AM3" s="264" t="s">
        <v>81</v>
      </c>
      <c r="AO3" s="264" t="s">
        <v>81</v>
      </c>
      <c r="AQ3" s="3" t="s">
        <v>363</v>
      </c>
      <c r="AR3" s="324">
        <f>'BASE CALC'!C6</f>
        <v>1.6E-2</v>
      </c>
    </row>
    <row r="4" spans="1:44" x14ac:dyDescent="0.2">
      <c r="B4" s="313" t="s">
        <v>82</v>
      </c>
      <c r="C4" s="313" t="s">
        <v>99</v>
      </c>
      <c r="D4" s="7" t="s">
        <v>100</v>
      </c>
      <c r="E4" s="9" t="s">
        <v>100</v>
      </c>
      <c r="F4" s="7"/>
      <c r="G4" s="9" t="s">
        <v>100</v>
      </c>
      <c r="H4" s="8"/>
      <c r="I4" s="244" t="s">
        <v>100</v>
      </c>
      <c r="J4" s="8"/>
      <c r="K4" s="9" t="s">
        <v>100</v>
      </c>
      <c r="L4" s="8"/>
      <c r="M4" s="9" t="s">
        <v>100</v>
      </c>
      <c r="N4" s="8"/>
      <c r="O4" s="9" t="s">
        <v>100</v>
      </c>
      <c r="P4" s="8"/>
      <c r="Q4" s="9" t="s">
        <v>100</v>
      </c>
      <c r="R4" s="8"/>
      <c r="S4" s="244" t="s">
        <v>100</v>
      </c>
      <c r="T4" s="8"/>
      <c r="U4" s="264" t="s">
        <v>100</v>
      </c>
      <c r="V4" s="8"/>
      <c r="W4" s="264" t="s">
        <v>100</v>
      </c>
      <c r="X4" s="8"/>
      <c r="Y4" s="264" t="s">
        <v>100</v>
      </c>
      <c r="Z4" s="8"/>
      <c r="AA4" s="264" t="s">
        <v>100</v>
      </c>
      <c r="AB4" s="8"/>
      <c r="AC4" s="264" t="s">
        <v>100</v>
      </c>
      <c r="AD4" s="8"/>
      <c r="AE4" s="264" t="s">
        <v>100</v>
      </c>
      <c r="AF4" s="8"/>
      <c r="AG4" s="264" t="s">
        <v>100</v>
      </c>
      <c r="AH4" s="8"/>
      <c r="AI4" s="264" t="s">
        <v>100</v>
      </c>
      <c r="AJ4" s="8"/>
      <c r="AK4" s="264" t="s">
        <v>100</v>
      </c>
      <c r="AL4" s="8"/>
      <c r="AM4" s="264" t="s">
        <v>100</v>
      </c>
      <c r="AN4" s="8"/>
      <c r="AO4" s="263" t="s">
        <v>100</v>
      </c>
      <c r="AP4" s="8"/>
    </row>
    <row r="5" spans="1:44" x14ac:dyDescent="0.2">
      <c r="B5" s="313" t="s">
        <v>98</v>
      </c>
      <c r="C5" s="313" t="s">
        <v>98</v>
      </c>
      <c r="D5" s="7" t="s">
        <v>380</v>
      </c>
      <c r="E5" s="7" t="s">
        <v>380</v>
      </c>
      <c r="F5" s="7"/>
      <c r="G5" s="7" t="s">
        <v>380</v>
      </c>
      <c r="H5" s="9"/>
      <c r="I5" s="144" t="s">
        <v>380</v>
      </c>
      <c r="J5" s="9"/>
      <c r="K5" s="7" t="s">
        <v>380</v>
      </c>
      <c r="L5" s="9"/>
      <c r="M5" s="7" t="s">
        <v>380</v>
      </c>
      <c r="N5" s="9"/>
      <c r="O5" s="7" t="s">
        <v>380</v>
      </c>
      <c r="P5" s="9"/>
      <c r="Q5" s="7" t="s">
        <v>380</v>
      </c>
      <c r="R5" s="9"/>
      <c r="S5" s="144" t="s">
        <v>380</v>
      </c>
      <c r="T5" s="9"/>
      <c r="U5" s="265" t="s">
        <v>380</v>
      </c>
      <c r="V5" s="9"/>
      <c r="W5" s="265" t="s">
        <v>380</v>
      </c>
      <c r="X5" s="9"/>
      <c r="Y5" s="265" t="s">
        <v>380</v>
      </c>
      <c r="Z5" s="9"/>
      <c r="AA5" s="265" t="s">
        <v>380</v>
      </c>
      <c r="AB5" s="9"/>
      <c r="AC5" s="265" t="s">
        <v>380</v>
      </c>
      <c r="AD5" s="9"/>
      <c r="AE5" s="265" t="s">
        <v>380</v>
      </c>
      <c r="AF5" s="9"/>
      <c r="AG5" s="265" t="s">
        <v>380</v>
      </c>
      <c r="AH5" s="9"/>
      <c r="AI5" s="265" t="s">
        <v>380</v>
      </c>
      <c r="AJ5" s="9"/>
      <c r="AK5" s="265" t="s">
        <v>380</v>
      </c>
      <c r="AL5" s="9"/>
      <c r="AM5" s="265" t="s">
        <v>380</v>
      </c>
      <c r="AN5" s="9"/>
      <c r="AO5" s="9" t="s">
        <v>380</v>
      </c>
      <c r="AP5" s="9"/>
    </row>
    <row r="6" spans="1:44" x14ac:dyDescent="0.2">
      <c r="B6" s="19" t="s">
        <v>35</v>
      </c>
      <c r="C6" s="20" t="s">
        <v>35</v>
      </c>
      <c r="D6" s="7" t="s">
        <v>381</v>
      </c>
      <c r="E6" s="7" t="s">
        <v>381</v>
      </c>
      <c r="F6" s="7" t="s">
        <v>35</v>
      </c>
      <c r="G6" s="7" t="s">
        <v>381</v>
      </c>
      <c r="H6" s="7" t="s">
        <v>35</v>
      </c>
      <c r="I6" s="144" t="s">
        <v>381</v>
      </c>
      <c r="J6" s="7" t="s">
        <v>35</v>
      </c>
      <c r="K6" s="7" t="s">
        <v>381</v>
      </c>
      <c r="L6" s="7" t="s">
        <v>35</v>
      </c>
      <c r="M6" s="7" t="s">
        <v>381</v>
      </c>
      <c r="N6" s="7" t="s">
        <v>35</v>
      </c>
      <c r="O6" s="7" t="s">
        <v>381</v>
      </c>
      <c r="P6" s="7" t="s">
        <v>35</v>
      </c>
      <c r="Q6" s="7" t="s">
        <v>381</v>
      </c>
      <c r="R6" s="7" t="s">
        <v>35</v>
      </c>
      <c r="S6" s="144" t="s">
        <v>381</v>
      </c>
      <c r="T6" s="7" t="s">
        <v>35</v>
      </c>
      <c r="U6" s="265" t="s">
        <v>381</v>
      </c>
      <c r="V6" s="7" t="s">
        <v>35</v>
      </c>
      <c r="W6" s="265" t="s">
        <v>381</v>
      </c>
      <c r="X6" s="7" t="s">
        <v>35</v>
      </c>
      <c r="Y6" s="265" t="s">
        <v>381</v>
      </c>
      <c r="Z6" s="7" t="s">
        <v>35</v>
      </c>
      <c r="AA6" s="265" t="s">
        <v>381</v>
      </c>
      <c r="AB6" s="7" t="s">
        <v>35</v>
      </c>
      <c r="AC6" s="265" t="s">
        <v>381</v>
      </c>
      <c r="AD6" s="7" t="s">
        <v>35</v>
      </c>
      <c r="AE6" s="265" t="s">
        <v>381</v>
      </c>
      <c r="AF6" s="7" t="s">
        <v>35</v>
      </c>
      <c r="AG6" s="265" t="s">
        <v>381</v>
      </c>
      <c r="AH6" s="7" t="s">
        <v>35</v>
      </c>
      <c r="AI6" s="265" t="s">
        <v>381</v>
      </c>
      <c r="AJ6" s="7" t="s">
        <v>35</v>
      </c>
      <c r="AK6" s="265" t="s">
        <v>381</v>
      </c>
      <c r="AL6" s="7" t="s">
        <v>35</v>
      </c>
      <c r="AM6" s="265" t="s">
        <v>381</v>
      </c>
      <c r="AN6" s="7" t="s">
        <v>35</v>
      </c>
      <c r="AO6" s="265" t="s">
        <v>381</v>
      </c>
      <c r="AP6" s="7" t="s">
        <v>35</v>
      </c>
    </row>
    <row r="7" spans="1:44" x14ac:dyDescent="0.2">
      <c r="B7" s="17" t="s">
        <v>101</v>
      </c>
      <c r="C7" s="17" t="s">
        <v>101</v>
      </c>
      <c r="D7" s="10" t="s">
        <v>102</v>
      </c>
      <c r="E7" s="11" t="s">
        <v>102</v>
      </c>
      <c r="F7" s="10" t="s">
        <v>101</v>
      </c>
      <c r="G7" s="11" t="s">
        <v>102</v>
      </c>
      <c r="H7" s="10" t="s">
        <v>101</v>
      </c>
      <c r="I7" s="246" t="s">
        <v>102</v>
      </c>
      <c r="J7" s="10" t="s">
        <v>101</v>
      </c>
      <c r="K7" s="11" t="s">
        <v>102</v>
      </c>
      <c r="L7" s="10" t="s">
        <v>101</v>
      </c>
      <c r="M7" s="11" t="s">
        <v>102</v>
      </c>
      <c r="N7" s="10" t="s">
        <v>101</v>
      </c>
      <c r="O7" s="11" t="s">
        <v>102</v>
      </c>
      <c r="P7" s="10" t="s">
        <v>101</v>
      </c>
      <c r="Q7" s="11" t="s">
        <v>102</v>
      </c>
      <c r="R7" s="10" t="s">
        <v>101</v>
      </c>
      <c r="S7" s="246" t="s">
        <v>102</v>
      </c>
      <c r="T7" s="10" t="s">
        <v>101</v>
      </c>
      <c r="U7" s="266" t="s">
        <v>102</v>
      </c>
      <c r="V7" s="10" t="s">
        <v>101</v>
      </c>
      <c r="W7" s="266" t="s">
        <v>102</v>
      </c>
      <c r="X7" s="10" t="s">
        <v>101</v>
      </c>
      <c r="Y7" s="266" t="s">
        <v>102</v>
      </c>
      <c r="Z7" s="10" t="s">
        <v>101</v>
      </c>
      <c r="AA7" s="266" t="s">
        <v>102</v>
      </c>
      <c r="AB7" s="10" t="s">
        <v>101</v>
      </c>
      <c r="AC7" s="266" t="s">
        <v>102</v>
      </c>
      <c r="AD7" s="10" t="s">
        <v>101</v>
      </c>
      <c r="AE7" s="266" t="s">
        <v>102</v>
      </c>
      <c r="AF7" s="10" t="s">
        <v>101</v>
      </c>
      <c r="AG7" s="266" t="s">
        <v>102</v>
      </c>
      <c r="AH7" s="10" t="s">
        <v>101</v>
      </c>
      <c r="AI7" s="266" t="s">
        <v>102</v>
      </c>
      <c r="AJ7" s="10" t="s">
        <v>101</v>
      </c>
      <c r="AK7" s="266" t="s">
        <v>102</v>
      </c>
      <c r="AL7" s="10" t="s">
        <v>101</v>
      </c>
      <c r="AM7" s="266" t="s">
        <v>102</v>
      </c>
      <c r="AN7" s="10" t="s">
        <v>101</v>
      </c>
      <c r="AO7" s="266" t="s">
        <v>102</v>
      </c>
      <c r="AP7" s="10" t="s">
        <v>101</v>
      </c>
    </row>
    <row r="8" spans="1:44" ht="18" customHeight="1" x14ac:dyDescent="0.2">
      <c r="A8" s="3" t="s">
        <v>6</v>
      </c>
      <c r="B8" s="320">
        <f>SUM((AL8+AN8+AP8+AJ8+AH8)/5)</f>
        <v>-3.8786245349044547E-2</v>
      </c>
      <c r="C8" s="320">
        <f>[1]Population!O5</f>
        <v>1.3549297229270216E-3</v>
      </c>
      <c r="D8" s="5">
        <v>806990177</v>
      </c>
      <c r="E8" s="5">
        <v>843075009</v>
      </c>
      <c r="F8" s="1">
        <f>SUM((E8-D8)/D8)</f>
        <v>4.4715329911630387E-2</v>
      </c>
      <c r="G8" s="5">
        <v>894086197</v>
      </c>
      <c r="H8" s="1">
        <f>SUM((G8-E8)/E8)</f>
        <v>6.050610853772799E-2</v>
      </c>
      <c r="I8" s="236">
        <v>937714096</v>
      </c>
      <c r="J8" s="1">
        <f>SUM((I8-G8)/G8)</f>
        <v>4.8796077096803676E-2</v>
      </c>
      <c r="K8" s="5">
        <v>991578251</v>
      </c>
      <c r="L8" s="1">
        <f>SUM((K8-I8)/I8)</f>
        <v>5.7441980695147832E-2</v>
      </c>
      <c r="M8" s="5">
        <v>1013862908</v>
      </c>
      <c r="N8" s="1">
        <f>SUM((M8-K8)/K8)</f>
        <v>2.2473926770303881E-2</v>
      </c>
      <c r="O8" s="5">
        <v>1074943658.6666665</v>
      </c>
      <c r="P8" s="1">
        <f>SUM((O8-M8)/M8)</f>
        <v>6.0245571846747656E-2</v>
      </c>
      <c r="Q8" s="5">
        <v>1089254945.000011</v>
      </c>
      <c r="R8" s="1">
        <f>SUM((Q8-O8)/O8)</f>
        <v>1.3313522265060686E-2</v>
      </c>
      <c r="S8" s="236">
        <v>1146535394</v>
      </c>
      <c r="T8" s="1">
        <f>SUM((S8-Q8)/Q8)</f>
        <v>5.2586815660486584E-2</v>
      </c>
      <c r="U8" s="262">
        <v>1226542627</v>
      </c>
      <c r="V8" s="1">
        <f>SUM((U8-S8)/S8)</f>
        <v>6.9781738460661949E-2</v>
      </c>
      <c r="W8" s="262">
        <v>1465975881.4902475</v>
      </c>
      <c r="X8" s="1">
        <f>SUM((W8-U8)/U8)</f>
        <v>0.1952098926034696</v>
      </c>
      <c r="Y8" s="262">
        <v>1663296907</v>
      </c>
      <c r="Z8" s="1">
        <f>SUM((Y8-W8)/W8)</f>
        <v>0.13460045830301418</v>
      </c>
      <c r="AA8" s="262">
        <v>1930490350</v>
      </c>
      <c r="AB8" s="1">
        <f>SUM((AA8-Y8)/Y8)</f>
        <v>0.16064085845137691</v>
      </c>
      <c r="AC8" s="262">
        <v>1926477352</v>
      </c>
      <c r="AD8" s="1">
        <f>SUM((AC8-AA8)/AA8)</f>
        <v>-2.0787454337702336E-3</v>
      </c>
      <c r="AE8" s="262">
        <v>1774839205</v>
      </c>
      <c r="AF8" s="1">
        <f>SUM((AE8-AC8)/AC8)</f>
        <v>-7.8712654910048488E-2</v>
      </c>
      <c r="AG8" s="262">
        <v>1567939128</v>
      </c>
      <c r="AH8" s="1">
        <f>SUM((AG8-AE8)/AE8)</f>
        <v>-0.11657398395140815</v>
      </c>
      <c r="AI8" s="262">
        <v>1381815028</v>
      </c>
      <c r="AJ8" s="1">
        <f>SUM((AI8-AG8)/AG8)</f>
        <v>-0.11870620273212545</v>
      </c>
      <c r="AK8" s="262">
        <v>1238756058</v>
      </c>
      <c r="AL8" s="1">
        <f>SUM((AK8-AI8)/AI8)</f>
        <v>-0.10352975405619919</v>
      </c>
      <c r="AM8" s="262">
        <v>1338006691</v>
      </c>
      <c r="AN8" s="1">
        <f>SUM((AM8-AK8)/AK8)</f>
        <v>8.0121208981405442E-2</v>
      </c>
      <c r="AO8" s="262">
        <v>1424652666</v>
      </c>
      <c r="AP8" s="1">
        <f t="shared" ref="AP8:AP10" si="0">(AO8-AM8)/AM8</f>
        <v>6.4757505013104608E-2</v>
      </c>
    </row>
    <row r="9" spans="1:44" x14ac:dyDescent="0.2">
      <c r="A9" s="3" t="s">
        <v>103</v>
      </c>
      <c r="B9" s="320">
        <f t="shared" ref="B9:B10" si="1">SUM((AL9+AN9+AP9+AJ9+AH9)/5)</f>
        <v>-3.8782989890371676E-2</v>
      </c>
      <c r="C9" s="320"/>
      <c r="D9" s="5">
        <v>795122665</v>
      </c>
      <c r="E9" s="5">
        <v>842924868</v>
      </c>
      <c r="F9" s="1">
        <f>SUM((E9-D9)/D9)</f>
        <v>6.0119281092307943E-2</v>
      </c>
      <c r="G9" s="5">
        <v>894036150</v>
      </c>
      <c r="H9" s="1">
        <f>SUM((G9-E9)/E9)</f>
        <v>6.0635631881725431E-2</v>
      </c>
      <c r="I9" s="236">
        <v>937664049</v>
      </c>
      <c r="J9" s="1">
        <f>SUM((I9-G9)/G9)</f>
        <v>4.8798808638778196E-2</v>
      </c>
      <c r="K9" s="5">
        <v>991578251</v>
      </c>
      <c r="L9" s="1">
        <f>SUM((K9-I9)/I9)</f>
        <v>5.7498420737681501E-2</v>
      </c>
      <c r="M9" s="5">
        <v>1013862908</v>
      </c>
      <c r="N9" s="1">
        <f>SUM((M9-K9)/K9)</f>
        <v>2.2473926770303881E-2</v>
      </c>
      <c r="O9" s="5">
        <v>1074943658.6666665</v>
      </c>
      <c r="P9" s="1">
        <f>SUM((O9-M9)/M9)</f>
        <v>6.0245571846747656E-2</v>
      </c>
      <c r="Q9" s="5">
        <v>1089254945.000011</v>
      </c>
      <c r="R9" s="1">
        <f>SUM((Q9-O9)/O9)</f>
        <v>1.3313522265060686E-2</v>
      </c>
      <c r="S9" s="236">
        <v>1146535394</v>
      </c>
      <c r="T9" s="1">
        <f>SUM((S9-Q9)/Q9)</f>
        <v>5.2586815660486584E-2</v>
      </c>
      <c r="U9" s="262">
        <v>1226542627</v>
      </c>
      <c r="V9" s="1">
        <f>SUM((U9-S9)/S9)</f>
        <v>6.9781738460661949E-2</v>
      </c>
      <c r="W9" s="262">
        <v>1465975881.4902475</v>
      </c>
      <c r="X9" s="1">
        <f>SUM((W9-U9)/U9)</f>
        <v>0.1952098926034696</v>
      </c>
      <c r="Y9" s="262">
        <v>1663296907</v>
      </c>
      <c r="Z9" s="1">
        <f>SUM((Y9-W9)/W9)</f>
        <v>0.13460045830301418</v>
      </c>
      <c r="AA9" s="262">
        <v>1930490350</v>
      </c>
      <c r="AB9" s="1">
        <f>SUM((AA9-Y9)/Y9)</f>
        <v>0.16064085845137691</v>
      </c>
      <c r="AC9" s="262">
        <v>1926477352</v>
      </c>
      <c r="AD9" s="1">
        <f>SUM((AC9-AA9)/AA9)</f>
        <v>-2.0787454337702336E-3</v>
      </c>
      <c r="AE9" s="262">
        <v>1774839205</v>
      </c>
      <c r="AF9" s="1">
        <f>SUM((AE9-AC9)/AC9)</f>
        <v>-7.8712654910048488E-2</v>
      </c>
      <c r="AG9" s="262">
        <v>1567939128</v>
      </c>
      <c r="AH9" s="1">
        <f>SUM((AG9-AE9)/AE9)</f>
        <v>-0.11657398395140815</v>
      </c>
      <c r="AI9" s="262">
        <v>1380416657</v>
      </c>
      <c r="AJ9" s="1">
        <f>SUM((AI9-AG9)/AG9)</f>
        <v>-0.11959805559492358</v>
      </c>
      <c r="AK9" s="262">
        <v>1238756058</v>
      </c>
      <c r="AL9" s="1">
        <f>SUM((AK9-AI9)/AI9)</f>
        <v>-0.10262162390003672</v>
      </c>
      <c r="AM9" s="262">
        <v>1338006691</v>
      </c>
      <c r="AN9" s="1">
        <f>SUM((AM9-AK9)/AK9)</f>
        <v>8.0121208981405442E-2</v>
      </c>
      <c r="AO9" s="262">
        <v>1424652666</v>
      </c>
      <c r="AP9" s="1">
        <f t="shared" si="0"/>
        <v>6.4757505013104608E-2</v>
      </c>
    </row>
    <row r="10" spans="1:44" x14ac:dyDescent="0.2">
      <c r="A10" s="3" t="s">
        <v>104</v>
      </c>
      <c r="B10" s="320">
        <f t="shared" si="1"/>
        <v>-6.2491392440493544E-2</v>
      </c>
      <c r="C10" s="320"/>
      <c r="D10" s="5">
        <v>54883531</v>
      </c>
      <c r="E10" s="5">
        <v>61400808</v>
      </c>
      <c r="F10" s="1">
        <f>SUM((E10-D10)/D10)</f>
        <v>0.11874740712291271</v>
      </c>
      <c r="G10" s="5">
        <v>64131129</v>
      </c>
      <c r="H10" s="1">
        <f>SUM((G10-E10)/E10)</f>
        <v>4.4467183558887367E-2</v>
      </c>
      <c r="I10" s="236">
        <v>66927642</v>
      </c>
      <c r="J10" s="1">
        <f>SUM((I10-G10)/G10)</f>
        <v>4.3606171349330217E-2</v>
      </c>
      <c r="K10" s="5">
        <v>69817245</v>
      </c>
      <c r="L10" s="1">
        <f>SUM((K10-I10)/I10)</f>
        <v>4.3175030729455555E-2</v>
      </c>
      <c r="M10" s="5">
        <v>70855604.333333328</v>
      </c>
      <c r="N10" s="1">
        <f>SUM((M10-K10)/K10)</f>
        <v>1.4872533760582051E-2</v>
      </c>
      <c r="O10" s="5">
        <v>76374123.333333328</v>
      </c>
      <c r="P10" s="1">
        <f>SUM((O10-M10)/M10)</f>
        <v>7.7884015695338107E-2</v>
      </c>
      <c r="Q10" s="5">
        <v>76183811</v>
      </c>
      <c r="R10" s="1">
        <f>SUM((Q10-O10)/O10)</f>
        <v>-2.4918431142274982E-3</v>
      </c>
      <c r="S10" s="236">
        <v>79951508</v>
      </c>
      <c r="T10" s="1">
        <f>SUM((S10-Q10)/Q10)</f>
        <v>4.945534950988472E-2</v>
      </c>
      <c r="U10" s="262">
        <v>84052978</v>
      </c>
      <c r="V10" s="1">
        <f>SUM((U10-S10)/S10)</f>
        <v>5.1299470173845875E-2</v>
      </c>
      <c r="W10" s="262">
        <v>115851908.55500875</v>
      </c>
      <c r="X10" s="1">
        <f>SUM((W10-U10)/U10)</f>
        <v>0.37832009420307217</v>
      </c>
      <c r="Y10" s="262">
        <v>122548055</v>
      </c>
      <c r="Z10" s="1">
        <f>SUM((Y10-W10)/W10)</f>
        <v>5.7799189745862359E-2</v>
      </c>
      <c r="AA10" s="262">
        <v>180474868</v>
      </c>
      <c r="AB10" s="1">
        <f>SUM((AA10-Y10)/Y10)</f>
        <v>0.47268651469009443</v>
      </c>
      <c r="AC10" s="262">
        <v>142425474</v>
      </c>
      <c r="AD10" s="1">
        <f>SUM((AC10-AA10)/AA10)</f>
        <v>-0.21082932167596877</v>
      </c>
      <c r="AE10" s="262">
        <v>167013063</v>
      </c>
      <c r="AF10" s="1">
        <f>SUM((AE10-AC10)/AC10)</f>
        <v>0.17263477037822603</v>
      </c>
      <c r="AG10" s="262">
        <v>121139520</v>
      </c>
      <c r="AH10" s="1">
        <f>SUM((AG10-AE10)/AE10)</f>
        <v>-0.27467038910603059</v>
      </c>
      <c r="AI10" s="262">
        <v>110957443</v>
      </c>
      <c r="AJ10" s="1">
        <f>SUM((AI10-AG10)/AG10)</f>
        <v>-8.4052479323015308E-2</v>
      </c>
      <c r="AK10" s="262">
        <v>108405720</v>
      </c>
      <c r="AL10" s="1">
        <f>SUM((AK10-AI10)/AI10)</f>
        <v>-2.2997312582266338E-2</v>
      </c>
      <c r="AM10" s="262">
        <v>111406057</v>
      </c>
      <c r="AN10" s="1">
        <f>SUM((AM10-AK10)/AK10)</f>
        <v>2.7676925165941429E-2</v>
      </c>
      <c r="AO10" s="262">
        <v>116039022</v>
      </c>
      <c r="AP10" s="1">
        <f t="shared" si="0"/>
        <v>4.1586293642903095E-2</v>
      </c>
    </row>
    <row r="11" spans="1:44" x14ac:dyDescent="0.2">
      <c r="B11" s="320"/>
      <c r="C11" s="320"/>
      <c r="D11" s="5"/>
      <c r="F11" s="5"/>
      <c r="J11" s="1"/>
      <c r="L11" s="1"/>
      <c r="N11" s="1"/>
      <c r="P11" s="1"/>
      <c r="R11" s="1"/>
      <c r="T11" s="1"/>
      <c r="V11" s="1"/>
      <c r="X11" s="1"/>
      <c r="Z11" s="1"/>
      <c r="AB11" s="1"/>
      <c r="AD11" s="1"/>
      <c r="AF11" s="1"/>
      <c r="AH11" s="1"/>
      <c r="AJ11" s="1"/>
      <c r="AL11" s="1"/>
      <c r="AN11" s="1"/>
      <c r="AO11" s="262"/>
      <c r="AP11" s="1"/>
    </row>
    <row r="12" spans="1:44" x14ac:dyDescent="0.2">
      <c r="B12" s="320"/>
      <c r="C12" s="320"/>
      <c r="D12" s="5"/>
      <c r="F12" s="5"/>
      <c r="J12" s="1"/>
      <c r="L12" s="1"/>
      <c r="N12" s="1"/>
      <c r="P12" s="1"/>
      <c r="R12" s="1"/>
      <c r="T12" s="1"/>
      <c r="V12" s="1"/>
      <c r="X12" s="1"/>
      <c r="Z12" s="1"/>
      <c r="AB12" s="1"/>
      <c r="AD12" s="1"/>
      <c r="AF12" s="1"/>
      <c r="AH12" s="1"/>
      <c r="AJ12" s="1"/>
      <c r="AL12" s="1"/>
      <c r="AN12" s="1"/>
      <c r="AO12" s="262"/>
      <c r="AP12" s="1"/>
    </row>
    <row r="13" spans="1:44" x14ac:dyDescent="0.2">
      <c r="A13" s="3" t="s">
        <v>105</v>
      </c>
      <c r="B13" s="320"/>
      <c r="C13" s="320"/>
      <c r="D13" s="5"/>
      <c r="F13" s="5"/>
      <c r="J13" s="1"/>
      <c r="L13" s="1"/>
      <c r="N13" s="1"/>
      <c r="P13" s="1"/>
      <c r="R13" s="1"/>
      <c r="T13" s="1"/>
      <c r="V13" s="1"/>
      <c r="X13" s="1"/>
      <c r="Z13" s="1"/>
      <c r="AB13" s="1"/>
      <c r="AD13" s="1"/>
      <c r="AF13" s="1"/>
      <c r="AH13" s="1"/>
      <c r="AJ13" s="1"/>
      <c r="AL13" s="1"/>
      <c r="AN13" s="1"/>
      <c r="AO13" s="262"/>
      <c r="AP13" s="1"/>
    </row>
    <row r="14" spans="1:44" x14ac:dyDescent="0.2">
      <c r="A14" s="3" t="s">
        <v>106</v>
      </c>
      <c r="B14" s="320">
        <f t="shared" ref="B14:B17" si="2">SUM((AL14+AN14+AP14+AJ14+AH14)/5)</f>
        <v>-1.3947220413632907E-2</v>
      </c>
      <c r="C14" s="320">
        <f>[1]Population!O11</f>
        <v>5.8185266223292021E-3</v>
      </c>
      <c r="D14" s="5">
        <v>337141225</v>
      </c>
      <c r="E14" s="5">
        <v>350744384</v>
      </c>
      <c r="F14" s="1">
        <f>SUM((E14-D14)/D14)</f>
        <v>4.0348548297527244E-2</v>
      </c>
      <c r="G14" s="5">
        <v>370478377</v>
      </c>
      <c r="H14" s="1">
        <f>SUM((G14-E14)/E14)</f>
        <v>5.6263175977181147E-2</v>
      </c>
      <c r="I14" s="236">
        <v>394226147</v>
      </c>
      <c r="J14" s="1">
        <f>SUM((I14-G14)/G14)</f>
        <v>6.410028620914629E-2</v>
      </c>
      <c r="K14" s="5">
        <v>400120033</v>
      </c>
      <c r="L14" s="1">
        <f>SUM((K14-I14)/I14)</f>
        <v>1.4950520265719462E-2</v>
      </c>
      <c r="M14" s="5">
        <v>406562377</v>
      </c>
      <c r="N14" s="1">
        <f>SUM((M14-K14)/K14)</f>
        <v>1.6101028363156213E-2</v>
      </c>
      <c r="O14" s="5">
        <v>423459479.33333331</v>
      </c>
      <c r="P14" s="1">
        <f>SUM((O14-M14)/M14)</f>
        <v>4.1560909934696966E-2</v>
      </c>
      <c r="Q14" s="5">
        <v>421012989.00000846</v>
      </c>
      <c r="R14" s="1">
        <f>SUM((Q14-O14)/O14)</f>
        <v>-5.7773894616232058E-3</v>
      </c>
      <c r="S14" s="236">
        <v>431486591</v>
      </c>
      <c r="T14" s="1">
        <f>SUM((S14-Q14)/Q14)</f>
        <v>2.4877146961352601E-2</v>
      </c>
      <c r="U14" s="262">
        <v>463296936</v>
      </c>
      <c r="V14" s="1">
        <f>SUM((U14-S14)/S14)</f>
        <v>7.3722673342588294E-2</v>
      </c>
      <c r="W14" s="262">
        <v>547868036</v>
      </c>
      <c r="X14" s="1">
        <f>SUM((W14-U14)/U14)</f>
        <v>0.18254189360751569</v>
      </c>
      <c r="Y14" s="262">
        <v>666529426</v>
      </c>
      <c r="Z14" s="1">
        <f>SUM((Y14-W14)/W14)</f>
        <v>0.216587539704543</v>
      </c>
      <c r="AA14" s="262">
        <v>724298882</v>
      </c>
      <c r="AB14" s="1">
        <f>SUM((AA14-Y14)/Y14)</f>
        <v>8.6672026390024678E-2</v>
      </c>
      <c r="AC14" s="262">
        <v>758978103</v>
      </c>
      <c r="AD14" s="1">
        <f>SUM((AC14-AA14)/AA14)</f>
        <v>4.7879710795963926E-2</v>
      </c>
      <c r="AE14" s="262">
        <v>780222345</v>
      </c>
      <c r="AF14" s="1">
        <f>SUM((AE14-AC14)/AC14)</f>
        <v>2.7990586179006009E-2</v>
      </c>
      <c r="AG14" s="262">
        <v>725592544</v>
      </c>
      <c r="AH14" s="1">
        <f>SUM((AG14-AE14)/AE14)</f>
        <v>-7.0018247170298614E-2</v>
      </c>
      <c r="AI14" s="262">
        <v>677075891</v>
      </c>
      <c r="AJ14" s="1">
        <f>SUM((AI14-AG14)/AG14)</f>
        <v>-6.6864872580609094E-2</v>
      </c>
      <c r="AK14" s="262">
        <v>672577889</v>
      </c>
      <c r="AL14" s="1">
        <f>SUM((AK14-AI14)/AI14)</f>
        <v>-6.6432759751004046E-3</v>
      </c>
      <c r="AM14" s="262">
        <v>683625992</v>
      </c>
      <c r="AN14" s="1">
        <f>SUM((AM14-AK14)/AK14)</f>
        <v>1.6426503429106929E-2</v>
      </c>
      <c r="AO14" s="262">
        <v>722841370</v>
      </c>
      <c r="AP14" s="1">
        <f>(AO14-AM14)/AM14</f>
        <v>5.7363790228736652E-2</v>
      </c>
    </row>
    <row r="15" spans="1:44" x14ac:dyDescent="0.2">
      <c r="A15" s="3" t="s">
        <v>107</v>
      </c>
      <c r="B15" s="320">
        <f t="shared" si="2"/>
        <v>-4.1329519794976274E-2</v>
      </c>
      <c r="C15" s="320">
        <f>[1]Population!O12</f>
        <v>1.7262598334912883E-2</v>
      </c>
      <c r="D15" s="5">
        <v>89537244</v>
      </c>
      <c r="E15" s="5">
        <v>95930854</v>
      </c>
      <c r="F15" s="1">
        <f>SUM((E15-D15)/D15)</f>
        <v>7.140726824247573E-2</v>
      </c>
      <c r="G15" s="5">
        <v>99459168</v>
      </c>
      <c r="H15" s="1">
        <f>SUM((G15-E15)/E15)</f>
        <v>3.6779762223319724E-2</v>
      </c>
      <c r="I15" s="236">
        <v>109647684</v>
      </c>
      <c r="J15" s="1">
        <f>SUM((I15-G15)/G15)</f>
        <v>0.10243918388699974</v>
      </c>
      <c r="K15" s="5">
        <v>111523476</v>
      </c>
      <c r="L15" s="1">
        <f>SUM((K15-I15)/I15)</f>
        <v>1.7107447522557793E-2</v>
      </c>
      <c r="M15" s="5">
        <v>114901457</v>
      </c>
      <c r="N15" s="1">
        <f>SUM((M15-K15)/K15)</f>
        <v>3.0289416373643161E-2</v>
      </c>
      <c r="O15" s="5">
        <v>114289304.33333333</v>
      </c>
      <c r="P15" s="1">
        <f>SUM((O15-M15)/M15)</f>
        <v>-5.3276318912707232E-3</v>
      </c>
      <c r="Q15" s="5">
        <v>112928288.0000039</v>
      </c>
      <c r="R15" s="1">
        <f>SUM((Q15-O15)/O15)</f>
        <v>-1.1908518835322665E-2</v>
      </c>
      <c r="S15" s="236">
        <v>117008845</v>
      </c>
      <c r="T15" s="1">
        <f>SUM((S15-Q15)/Q15)</f>
        <v>3.6134055268737933E-2</v>
      </c>
      <c r="U15" s="262">
        <v>126555509</v>
      </c>
      <c r="V15" s="1">
        <f>SUM((U15-S15)/S15)</f>
        <v>8.1589250795527465E-2</v>
      </c>
      <c r="W15" s="262">
        <v>146200674</v>
      </c>
      <c r="X15" s="1">
        <f>SUM((W15-U15)/U15)</f>
        <v>0.15522963129167297</v>
      </c>
      <c r="Y15" s="262">
        <v>216301391</v>
      </c>
      <c r="Z15" s="1">
        <f>SUM((Y15-W15)/W15)</f>
        <v>0.47948285792444434</v>
      </c>
      <c r="AA15" s="262">
        <v>239195973</v>
      </c>
      <c r="AB15" s="1">
        <f>SUM((AA15-Y15)/Y15)</f>
        <v>0.10584574557821498</v>
      </c>
      <c r="AC15" s="262">
        <v>241530761</v>
      </c>
      <c r="AD15" s="1">
        <f>SUM((AC15-AA15)/AA15)</f>
        <v>9.7609837269292156E-3</v>
      </c>
      <c r="AE15" s="262">
        <v>211228851</v>
      </c>
      <c r="AF15" s="1">
        <f>SUM((AE15-AC15)/AC15)</f>
        <v>-0.12545776726137173</v>
      </c>
      <c r="AG15" s="262">
        <v>183598857</v>
      </c>
      <c r="AH15" s="1">
        <f>SUM((AG15-AE15)/AE15)</f>
        <v>-0.13080596646335968</v>
      </c>
      <c r="AI15" s="262">
        <v>164174901</v>
      </c>
      <c r="AJ15" s="1">
        <f>SUM((AI15-AG15)/AG15)</f>
        <v>-0.10579562594989357</v>
      </c>
      <c r="AK15" s="262">
        <v>184464262</v>
      </c>
      <c r="AL15" s="1">
        <f>SUM((AK15-AI15)/AI15)</f>
        <v>0.12358381748011531</v>
      </c>
      <c r="AM15" s="262">
        <v>169558631</v>
      </c>
      <c r="AN15" s="1">
        <f>SUM((AM15-AK15)/AK15)</f>
        <v>-8.0804979991192002E-2</v>
      </c>
      <c r="AO15" s="262">
        <v>167384068</v>
      </c>
      <c r="AP15" s="1">
        <f t="shared" ref="AP15:AP17" si="3">(AO15-AM15)/AM15</f>
        <v>-1.2824844050551457E-2</v>
      </c>
    </row>
    <row r="16" spans="1:44" x14ac:dyDescent="0.2">
      <c r="A16" s="3" t="s">
        <v>103</v>
      </c>
      <c r="B16" s="320">
        <f t="shared" si="2"/>
        <v>-1.3947220413632907E-2</v>
      </c>
      <c r="C16" s="320"/>
      <c r="D16" s="5">
        <v>337141225</v>
      </c>
      <c r="E16" s="5">
        <v>350744384</v>
      </c>
      <c r="F16" s="1">
        <f>SUM((E16-D16)/D16)</f>
        <v>4.0348548297527244E-2</v>
      </c>
      <c r="G16" s="5">
        <v>370478377</v>
      </c>
      <c r="H16" s="1">
        <f>SUM((G16-E16)/E16)</f>
        <v>5.6263175977181147E-2</v>
      </c>
      <c r="I16" s="236">
        <v>394226147</v>
      </c>
      <c r="J16" s="1">
        <f>SUM((I16-G16)/G16)</f>
        <v>6.410028620914629E-2</v>
      </c>
      <c r="K16" s="5">
        <v>400120033</v>
      </c>
      <c r="L16" s="1">
        <f>SUM((K16-I16)/I16)</f>
        <v>1.4950520265719462E-2</v>
      </c>
      <c r="M16" s="5">
        <v>406562377</v>
      </c>
      <c r="N16" s="1">
        <f>SUM((M16-K16)/K16)</f>
        <v>1.6101028363156213E-2</v>
      </c>
      <c r="O16" s="5">
        <v>423459479.33333331</v>
      </c>
      <c r="P16" s="1">
        <f>SUM((O16-M16)/M16)</f>
        <v>4.1560909934696966E-2</v>
      </c>
      <c r="Q16" s="5">
        <v>421012989.00000846</v>
      </c>
      <c r="R16" s="1">
        <f>SUM((Q16-O16)/O16)</f>
        <v>-5.7773894616232058E-3</v>
      </c>
      <c r="S16" s="236">
        <v>431486591</v>
      </c>
      <c r="T16" s="1">
        <f>SUM((S16-Q16)/Q16)</f>
        <v>2.4877146961352601E-2</v>
      </c>
      <c r="U16" s="262">
        <v>463296936</v>
      </c>
      <c r="V16" s="1">
        <f>SUM((U16-S16)/S16)</f>
        <v>7.3722673342588294E-2</v>
      </c>
      <c r="W16" s="262">
        <v>547868036</v>
      </c>
      <c r="X16" s="1">
        <f>SUM((W16-U16)/U16)</f>
        <v>0.18254189360751569</v>
      </c>
      <c r="Y16" s="262">
        <v>666529426</v>
      </c>
      <c r="Z16" s="1">
        <f>SUM((Y16-W16)/W16)</f>
        <v>0.216587539704543</v>
      </c>
      <c r="AA16" s="262">
        <v>724298882</v>
      </c>
      <c r="AB16" s="1">
        <f>SUM((AA16-Y16)/Y16)</f>
        <v>8.6672026390024678E-2</v>
      </c>
      <c r="AC16" s="262">
        <v>758978103</v>
      </c>
      <c r="AD16" s="1">
        <f>SUM((AC16-AA16)/AA16)</f>
        <v>4.7879710795963926E-2</v>
      </c>
      <c r="AE16" s="262">
        <v>780222345</v>
      </c>
      <c r="AF16" s="1">
        <f>SUM((AE16-AC16)/AC16)</f>
        <v>2.7990586179006009E-2</v>
      </c>
      <c r="AG16" s="262">
        <v>725592544</v>
      </c>
      <c r="AH16" s="1">
        <f>SUM((AG16-AE16)/AE16)</f>
        <v>-7.0018247170298614E-2</v>
      </c>
      <c r="AI16" s="262">
        <v>677075891</v>
      </c>
      <c r="AJ16" s="1">
        <f>SUM((AI16-AG16)/AG16)</f>
        <v>-6.6864872580609094E-2</v>
      </c>
      <c r="AK16" s="262">
        <v>672577889</v>
      </c>
      <c r="AL16" s="1">
        <f>SUM((AK16-AI16)/AI16)</f>
        <v>-6.6432759751004046E-3</v>
      </c>
      <c r="AM16" s="262">
        <v>683625992</v>
      </c>
      <c r="AN16" s="1">
        <f>SUM((AM16-AK16)/AK16)</f>
        <v>1.6426503429106929E-2</v>
      </c>
      <c r="AO16" s="262">
        <v>722841370</v>
      </c>
      <c r="AP16" s="1">
        <f t="shared" si="3"/>
        <v>5.7363790228736652E-2</v>
      </c>
    </row>
    <row r="17" spans="1:42" x14ac:dyDescent="0.2">
      <c r="A17" s="3" t="s">
        <v>108</v>
      </c>
      <c r="B17" s="320">
        <f t="shared" si="2"/>
        <v>-1.3947220413632907E-2</v>
      </c>
      <c r="C17" s="320"/>
      <c r="D17" s="5">
        <v>334141225</v>
      </c>
      <c r="E17" s="5">
        <v>350744384</v>
      </c>
      <c r="F17" s="1">
        <f>SUM((E17-D17)/D17)</f>
        <v>4.9689046899256448E-2</v>
      </c>
      <c r="G17" s="5">
        <v>370478377</v>
      </c>
      <c r="H17" s="1">
        <f>SUM((G17-E17)/E17)</f>
        <v>5.6263175977181147E-2</v>
      </c>
      <c r="I17" s="236">
        <v>394226147</v>
      </c>
      <c r="J17" s="1">
        <f>SUM((I17-G17)/G17)</f>
        <v>6.410028620914629E-2</v>
      </c>
      <c r="K17" s="5">
        <v>400120033</v>
      </c>
      <c r="L17" s="1">
        <f>SUM((K17-I17)/I17)</f>
        <v>1.4950520265719462E-2</v>
      </c>
      <c r="M17" s="5">
        <v>406562377</v>
      </c>
      <c r="N17" s="1">
        <f>SUM((M17-K17)/K17)</f>
        <v>1.6101028363156213E-2</v>
      </c>
      <c r="O17" s="5">
        <v>423459479.33333331</v>
      </c>
      <c r="P17" s="1">
        <f>SUM((O17-M17)/M17)</f>
        <v>4.1560909934696966E-2</v>
      </c>
      <c r="Q17" s="5">
        <v>418020257.00000745</v>
      </c>
      <c r="R17" s="1">
        <f>SUM((Q17-O17)/O17)</f>
        <v>-1.2844729186105399E-2</v>
      </c>
      <c r="S17" s="236">
        <f>S14</f>
        <v>431486591</v>
      </c>
      <c r="T17" s="1">
        <f>SUM((S17-Q17)/Q17)</f>
        <v>3.2214548875300821E-2</v>
      </c>
      <c r="U17" s="262">
        <v>463296936</v>
      </c>
      <c r="V17" s="1">
        <f>SUM((U17-S17)/S17)</f>
        <v>7.3722673342588294E-2</v>
      </c>
      <c r="W17" s="262">
        <v>547868036</v>
      </c>
      <c r="X17" s="1">
        <f>SUM((W17-U17)/U17)</f>
        <v>0.18254189360751569</v>
      </c>
      <c r="Y17" s="262">
        <v>666529426</v>
      </c>
      <c r="Z17" s="1">
        <f>SUM((Y17-W17)/W17)</f>
        <v>0.216587539704543</v>
      </c>
      <c r="AA17" s="262">
        <v>724298882</v>
      </c>
      <c r="AB17" s="1">
        <f>SUM((AA17-Y17)/Y17)</f>
        <v>8.6672026390024678E-2</v>
      </c>
      <c r="AC17" s="262">
        <v>758978103</v>
      </c>
      <c r="AD17" s="1">
        <f>SUM((AC17-AA17)/AA17)</f>
        <v>4.7879710795963926E-2</v>
      </c>
      <c r="AE17" s="262">
        <v>780222345</v>
      </c>
      <c r="AF17" s="1">
        <f>SUM((AE17-AC17)/AC17)</f>
        <v>2.7990586179006009E-2</v>
      </c>
      <c r="AG17" s="262">
        <v>725592544</v>
      </c>
      <c r="AH17" s="1">
        <f>SUM((AG17-AE17)/AE17)</f>
        <v>-7.0018247170298614E-2</v>
      </c>
      <c r="AI17" s="262">
        <v>677075891</v>
      </c>
      <c r="AJ17" s="1">
        <f>SUM((AI17-AG17)/AG17)</f>
        <v>-6.6864872580609094E-2</v>
      </c>
      <c r="AK17" s="262">
        <v>672577889</v>
      </c>
      <c r="AL17" s="1">
        <f>SUM((AK17-AI17)/AI17)</f>
        <v>-6.6432759751004046E-3</v>
      </c>
      <c r="AM17" s="262">
        <v>683625992</v>
      </c>
      <c r="AN17" s="1">
        <f>SUM((AM17-AK17)/AK17)</f>
        <v>1.6426503429106929E-2</v>
      </c>
      <c r="AO17" s="262">
        <v>722841370</v>
      </c>
      <c r="AP17" s="1">
        <f t="shared" si="3"/>
        <v>5.7363790228736652E-2</v>
      </c>
    </row>
    <row r="18" spans="1:42" x14ac:dyDescent="0.2">
      <c r="B18" s="320"/>
      <c r="C18" s="320"/>
      <c r="D18" s="5"/>
      <c r="F18" s="5"/>
      <c r="J18" s="1"/>
      <c r="L18" s="1"/>
      <c r="N18" s="1"/>
      <c r="P18" s="1"/>
      <c r="R18" s="1"/>
      <c r="T18" s="1"/>
      <c r="V18" s="1"/>
      <c r="X18" s="1"/>
      <c r="Z18" s="1"/>
      <c r="AB18" s="1"/>
      <c r="AD18" s="1"/>
      <c r="AF18" s="1"/>
      <c r="AH18" s="1"/>
      <c r="AJ18" s="1"/>
      <c r="AL18" s="1"/>
      <c r="AN18" s="1"/>
      <c r="AO18" s="262"/>
      <c r="AP18" s="1"/>
    </row>
    <row r="19" spans="1:42" x14ac:dyDescent="0.2">
      <c r="B19" s="320"/>
      <c r="C19" s="320"/>
      <c r="D19" s="5"/>
      <c r="F19" s="5"/>
      <c r="J19" s="1"/>
      <c r="L19" s="1"/>
      <c r="N19" s="1"/>
      <c r="P19" s="1"/>
      <c r="R19" s="1"/>
      <c r="T19" s="1"/>
      <c r="V19" s="1"/>
      <c r="X19" s="1"/>
      <c r="Z19" s="1"/>
      <c r="AB19" s="1"/>
      <c r="AD19" s="1"/>
      <c r="AF19" s="1"/>
      <c r="AH19" s="1"/>
      <c r="AJ19" s="1"/>
      <c r="AL19" s="1"/>
      <c r="AN19" s="1"/>
      <c r="AO19" s="262"/>
      <c r="AP19" s="1"/>
    </row>
    <row r="20" spans="1:42" x14ac:dyDescent="0.2">
      <c r="B20" s="320"/>
      <c r="C20" s="320"/>
      <c r="D20" s="5"/>
      <c r="J20" s="1"/>
      <c r="L20" s="1"/>
      <c r="N20" s="1"/>
      <c r="P20" s="1"/>
      <c r="R20" s="1"/>
      <c r="T20" s="1"/>
      <c r="V20" s="1"/>
      <c r="X20" s="1"/>
      <c r="Z20" s="1"/>
      <c r="AB20" s="1"/>
      <c r="AD20" s="1"/>
      <c r="AF20" s="1"/>
      <c r="AH20" s="1"/>
      <c r="AJ20" s="1"/>
      <c r="AL20" s="1"/>
      <c r="AN20" s="1"/>
      <c r="AO20" s="262"/>
      <c r="AP20" s="1"/>
    </row>
    <row r="21" spans="1:42" x14ac:dyDescent="0.2">
      <c r="A21" s="3" t="s">
        <v>109</v>
      </c>
      <c r="B21" s="320">
        <f t="shared" ref="B21:B45" si="4">SUM((AL21+AN21+AP21+AJ21+AH21)/5)</f>
        <v>2.016462169406516E-2</v>
      </c>
      <c r="C21" s="320">
        <f>[1]Population!O17</f>
        <v>2.6440746295095314E-2</v>
      </c>
      <c r="D21" s="12">
        <v>21279539116</v>
      </c>
      <c r="E21" s="5">
        <f>23973514181+1270386</f>
        <v>23974784567</v>
      </c>
      <c r="F21" s="1">
        <f t="shared" ref="F21:F27" si="5">SUM((E21-D21)/D21)</f>
        <v>0.12665901438501814</v>
      </c>
      <c r="G21" s="5">
        <f>26722781358+1360904</f>
        <v>26724142262</v>
      </c>
      <c r="H21" s="1">
        <f t="shared" ref="H21:H28" si="6">SUM((G21-E21)/E21)</f>
        <v>0.11467705527516367</v>
      </c>
      <c r="I21" s="236">
        <f>30931209676+1232790</f>
        <v>30932442466</v>
      </c>
      <c r="J21" s="1">
        <f t="shared" ref="J21:J45" si="7">SUM((I21-G21)/G21)</f>
        <v>0.15747185308109704</v>
      </c>
      <c r="K21" s="5">
        <f>34053662011+1220764</f>
        <v>34054882775</v>
      </c>
      <c r="L21" s="1">
        <f t="shared" ref="L21:L45" si="8">SUM((K21-I21)/I21)</f>
        <v>0.10094386540707516</v>
      </c>
      <c r="M21" s="5">
        <f>36614657596.3333+1396141</f>
        <v>36616053737.333298</v>
      </c>
      <c r="N21" s="1">
        <f t="shared" ref="N21:N45" si="9">SUM((M21-K21)/K21)</f>
        <v>7.5207158375934169E-2</v>
      </c>
      <c r="O21" s="236">
        <v>41132897087.583336</v>
      </c>
      <c r="P21" s="1">
        <f t="shared" ref="P21:T36" si="10">SUM((O21-M21)/M21)</f>
        <v>0.12335691286264193</v>
      </c>
      <c r="Q21" s="236">
        <v>45223558770.667191</v>
      </c>
      <c r="R21" s="1">
        <f t="shared" si="10"/>
        <v>9.9449880089255621E-2</v>
      </c>
      <c r="S21" s="236">
        <v>50800469742.36673</v>
      </c>
      <c r="T21" s="1">
        <f t="shared" si="10"/>
        <v>0.12331871093959158</v>
      </c>
      <c r="U21" s="262">
        <v>65579886359</v>
      </c>
      <c r="V21" s="1">
        <f t="shared" ref="V21:V28" si="11">SUM((U21-S21)/S21)</f>
        <v>0.29093070775893803</v>
      </c>
      <c r="W21" s="262">
        <v>90563308887</v>
      </c>
      <c r="X21" s="1">
        <f t="shared" ref="X21:Z28" si="12">SUM((W21-U21)/U21)</f>
        <v>0.38096166241025126</v>
      </c>
      <c r="Y21" s="262">
        <v>109209816132</v>
      </c>
      <c r="Z21" s="1">
        <f t="shared" si="12"/>
        <v>0.20589472131883016</v>
      </c>
      <c r="AA21" s="262">
        <v>116013873637</v>
      </c>
      <c r="AB21" s="1">
        <f t="shared" ref="AB21:AB45" si="13">SUM((AA21-Y21)/Y21)</f>
        <v>6.2302618445727022E-2</v>
      </c>
      <c r="AC21" s="262">
        <v>93790191674</v>
      </c>
      <c r="AD21" s="1">
        <f t="shared" ref="AD21:AD28" si="14">SUM((AC21-AA21)/AA21)</f>
        <v>-0.19156055449485707</v>
      </c>
      <c r="AE21" s="262">
        <v>65755965872</v>
      </c>
      <c r="AF21" s="1">
        <f t="shared" ref="AF21:AF28" si="15">SUM((AE21-AC21)/AC21)</f>
        <v>-0.29890359857076071</v>
      </c>
      <c r="AG21" s="262">
        <v>61795776898</v>
      </c>
      <c r="AH21" s="1">
        <f t="shared" ref="AH21:AH28" si="16">SUM((AG21-AE21)/AE21)</f>
        <v>-6.0225546404547838E-2</v>
      </c>
      <c r="AI21" s="262">
        <v>57214636549</v>
      </c>
      <c r="AJ21" s="1">
        <f t="shared" ref="AJ21:AJ28" si="17">SUM((AI21-AG21)/AG21)</f>
        <v>-7.4133550526626152E-2</v>
      </c>
      <c r="AK21" s="262">
        <v>55218017749</v>
      </c>
      <c r="AL21" s="1">
        <f t="shared" ref="AL21:AL28" si="18">SUM((AK21-AI21)/AI21)</f>
        <v>-3.4896993504276608E-2</v>
      </c>
      <c r="AM21" s="262">
        <v>64915529764</v>
      </c>
      <c r="AN21" s="1">
        <f t="shared" ref="AN21:AN28" si="19">SUM((AM21-AK21)/AK21)</f>
        <v>0.17562224089754874</v>
      </c>
      <c r="AO21" s="262">
        <v>71047253233</v>
      </c>
      <c r="AP21" s="1">
        <f t="shared" ref="AP21:AP45" si="20">(AO21-AM21)/AM21</f>
        <v>9.4456958008227648E-2</v>
      </c>
    </row>
    <row r="22" spans="1:42" x14ac:dyDescent="0.2">
      <c r="A22" s="3" t="s">
        <v>110</v>
      </c>
      <c r="B22" s="320">
        <f t="shared" si="4"/>
        <v>3.3048498489944629E-2</v>
      </c>
      <c r="C22" s="320">
        <f>[1]Population!O18</f>
        <v>1.3437093987190197E-2</v>
      </c>
      <c r="D22" s="12">
        <v>242165388</v>
      </c>
      <c r="E22" s="5">
        <v>262928323</v>
      </c>
      <c r="F22" s="1">
        <f t="shared" si="5"/>
        <v>8.5738656425995943E-2</v>
      </c>
      <c r="G22" s="5">
        <v>284879325</v>
      </c>
      <c r="H22" s="1">
        <f t="shared" si="6"/>
        <v>8.3486639056378875E-2</v>
      </c>
      <c r="I22" s="236">
        <v>354266706</v>
      </c>
      <c r="J22" s="1">
        <f t="shared" si="7"/>
        <v>0.24356762639759835</v>
      </c>
      <c r="K22" s="5">
        <v>396113637</v>
      </c>
      <c r="L22" s="1">
        <f t="shared" si="8"/>
        <v>0.11812267506729802</v>
      </c>
      <c r="M22" s="5">
        <v>397059380.66666669</v>
      </c>
      <c r="N22" s="1">
        <f t="shared" si="9"/>
        <v>2.3875564442298828E-3</v>
      </c>
      <c r="O22" s="236">
        <v>490507442.80000001</v>
      </c>
      <c r="P22" s="1">
        <f t="shared" si="10"/>
        <v>0.23535034476816311</v>
      </c>
      <c r="Q22" s="236">
        <v>496091731.33338481</v>
      </c>
      <c r="R22" s="1">
        <f t="shared" si="10"/>
        <v>1.1384717225711381E-2</v>
      </c>
      <c r="S22" s="236">
        <v>520667907.06667507</v>
      </c>
      <c r="T22" s="1">
        <f t="shared" si="10"/>
        <v>4.9539579438735923E-2</v>
      </c>
      <c r="U22" s="262">
        <v>599424231</v>
      </c>
      <c r="V22" s="1">
        <f t="shared" si="11"/>
        <v>0.15126018497475716</v>
      </c>
      <c r="W22" s="262">
        <v>714720315</v>
      </c>
      <c r="X22" s="1">
        <f t="shared" si="12"/>
        <v>0.19234471687548446</v>
      </c>
      <c r="Y22" s="262">
        <v>814896052</v>
      </c>
      <c r="Z22" s="1">
        <f t="shared" si="12"/>
        <v>0.14016075225173921</v>
      </c>
      <c r="AA22" s="262">
        <v>823658707</v>
      </c>
      <c r="AB22" s="1">
        <f t="shared" si="13"/>
        <v>1.0753095414432073E-2</v>
      </c>
      <c r="AC22" s="262">
        <v>743981551</v>
      </c>
      <c r="AD22" s="1">
        <f t="shared" si="14"/>
        <v>-9.673564465821885E-2</v>
      </c>
      <c r="AE22" s="262">
        <v>612637547</v>
      </c>
      <c r="AF22" s="1">
        <f t="shared" si="15"/>
        <v>-0.17654201750494752</v>
      </c>
      <c r="AG22" s="262">
        <v>565948143</v>
      </c>
      <c r="AH22" s="1">
        <f t="shared" si="16"/>
        <v>-7.6210484043349042E-2</v>
      </c>
      <c r="AI22" s="262">
        <v>538142991</v>
      </c>
      <c r="AJ22" s="1">
        <f t="shared" si="17"/>
        <v>-4.9130211564277541E-2</v>
      </c>
      <c r="AK22" s="262">
        <v>528726970</v>
      </c>
      <c r="AL22" s="1">
        <f t="shared" si="18"/>
        <v>-1.7497247306896543E-2</v>
      </c>
      <c r="AM22" s="262">
        <v>647862805</v>
      </c>
      <c r="AN22" s="1">
        <f t="shared" si="19"/>
        <v>0.2253258141910181</v>
      </c>
      <c r="AO22" s="262">
        <v>701476446</v>
      </c>
      <c r="AP22" s="1">
        <f t="shared" si="20"/>
        <v>8.2754621173228182E-2</v>
      </c>
    </row>
    <row r="23" spans="1:42" x14ac:dyDescent="0.2">
      <c r="A23" s="3" t="s">
        <v>111</v>
      </c>
      <c r="B23" s="320">
        <f t="shared" si="4"/>
        <v>2.1188469169182968E-2</v>
      </c>
      <c r="C23" s="320">
        <f>[1]Population!O19</f>
        <v>3.1015551575488819E-2</v>
      </c>
      <c r="D23" s="12">
        <v>2287923422</v>
      </c>
      <c r="E23" s="5">
        <v>2813281579</v>
      </c>
      <c r="F23" s="1">
        <f t="shared" si="5"/>
        <v>0.22962226442909328</v>
      </c>
      <c r="G23" s="5">
        <v>3354766078</v>
      </c>
      <c r="H23" s="1">
        <f t="shared" si="6"/>
        <v>0.19247433425859717</v>
      </c>
      <c r="I23" s="236">
        <v>3948251564</v>
      </c>
      <c r="J23" s="1">
        <f t="shared" si="7"/>
        <v>0.17690815758868539</v>
      </c>
      <c r="K23" s="5">
        <v>4495329952</v>
      </c>
      <c r="L23" s="1">
        <f t="shared" si="8"/>
        <v>0.13856219117045096</v>
      </c>
      <c r="M23" s="5">
        <v>5126668568</v>
      </c>
      <c r="N23" s="1">
        <f t="shared" si="9"/>
        <v>0.14044322057363409</v>
      </c>
      <c r="O23" s="236">
        <v>6026010001.7833338</v>
      </c>
      <c r="P23" s="1">
        <f t="shared" si="10"/>
        <v>0.1754241417900323</v>
      </c>
      <c r="Q23" s="236">
        <v>6884558782.666729</v>
      </c>
      <c r="R23" s="1">
        <f t="shared" si="10"/>
        <v>0.14247383934466037</v>
      </c>
      <c r="S23" s="236">
        <v>7658925850.9666882</v>
      </c>
      <c r="T23" s="1">
        <f t="shared" si="10"/>
        <v>0.1124788229348241</v>
      </c>
      <c r="U23" s="262">
        <v>10135222685</v>
      </c>
      <c r="V23" s="1">
        <f t="shared" si="11"/>
        <v>0.32332168795194177</v>
      </c>
      <c r="W23" s="262">
        <v>13977757265</v>
      </c>
      <c r="X23" s="1">
        <f t="shared" si="12"/>
        <v>0.37912680356662531</v>
      </c>
      <c r="Y23" s="262">
        <v>16735078968</v>
      </c>
      <c r="Z23" s="1">
        <f t="shared" si="12"/>
        <v>0.19726495822790352</v>
      </c>
      <c r="AA23" s="262">
        <v>17127254581</v>
      </c>
      <c r="AB23" s="1">
        <f t="shared" si="13"/>
        <v>2.3434344931977855E-2</v>
      </c>
      <c r="AC23" s="262">
        <v>13746185305</v>
      </c>
      <c r="AD23" s="1">
        <f t="shared" si="14"/>
        <v>-0.19740871252948886</v>
      </c>
      <c r="AE23" s="262">
        <v>10201991646</v>
      </c>
      <c r="AF23" s="1">
        <f t="shared" si="15"/>
        <v>-0.25783106951939927</v>
      </c>
      <c r="AG23" s="262">
        <v>9380412881</v>
      </c>
      <c r="AH23" s="1">
        <f t="shared" si="16"/>
        <v>-8.0531213267766674E-2</v>
      </c>
      <c r="AI23" s="262">
        <v>8620137719</v>
      </c>
      <c r="AJ23" s="1">
        <f t="shared" si="17"/>
        <v>-8.104922156890719E-2</v>
      </c>
      <c r="AK23" s="262">
        <v>8514933298</v>
      </c>
      <c r="AL23" s="1">
        <f t="shared" si="18"/>
        <v>-1.2204494223812064E-2</v>
      </c>
      <c r="AM23" s="262">
        <v>9986616691</v>
      </c>
      <c r="AN23" s="1">
        <f t="shared" si="19"/>
        <v>0.17283557504151809</v>
      </c>
      <c r="AO23" s="262">
        <v>11054103125</v>
      </c>
      <c r="AP23" s="1">
        <f t="shared" si="20"/>
        <v>0.1068916998648827</v>
      </c>
    </row>
    <row r="24" spans="1:42" x14ac:dyDescent="0.2">
      <c r="A24" s="3" t="s">
        <v>112</v>
      </c>
      <c r="B24" s="320">
        <f t="shared" si="4"/>
        <v>2.8107189744113026E-2</v>
      </c>
      <c r="C24" s="320">
        <f>[1]Population!O20</f>
        <v>1.4878053069111396E-2</v>
      </c>
      <c r="D24" s="12">
        <v>6395658595</v>
      </c>
      <c r="E24" s="5">
        <v>7225461251</v>
      </c>
      <c r="F24" s="1">
        <f t="shared" si="5"/>
        <v>0.12974467659182487</v>
      </c>
      <c r="G24" s="5">
        <v>7753432064</v>
      </c>
      <c r="H24" s="1">
        <f t="shared" si="6"/>
        <v>7.3070880136119912E-2</v>
      </c>
      <c r="I24" s="236">
        <v>8585810342</v>
      </c>
      <c r="J24" s="1">
        <f t="shared" si="7"/>
        <v>0.10735610644798448</v>
      </c>
      <c r="K24" s="5">
        <v>9203667188</v>
      </c>
      <c r="L24" s="1">
        <f t="shared" si="8"/>
        <v>7.1962554655740849E-2</v>
      </c>
      <c r="M24" s="5">
        <v>9751118572.666666</v>
      </c>
      <c r="N24" s="1">
        <f t="shared" si="9"/>
        <v>5.9481875374682011E-2</v>
      </c>
      <c r="O24" s="236">
        <v>10888359751.166668</v>
      </c>
      <c r="P24" s="1">
        <f t="shared" si="10"/>
        <v>0.1166267408221042</v>
      </c>
      <c r="Q24" s="236">
        <v>11809586466.333384</v>
      </c>
      <c r="R24" s="1">
        <f t="shared" si="10"/>
        <v>8.4606564828830888E-2</v>
      </c>
      <c r="S24" s="236">
        <v>13076791677.183332</v>
      </c>
      <c r="T24" s="1">
        <f t="shared" si="10"/>
        <v>0.10730309773864488</v>
      </c>
      <c r="U24" s="262">
        <v>16982144290</v>
      </c>
      <c r="V24" s="1">
        <f t="shared" si="11"/>
        <v>0.29864761244386961</v>
      </c>
      <c r="W24" s="262">
        <v>22546824940</v>
      </c>
      <c r="X24" s="1">
        <f t="shared" si="12"/>
        <v>0.32767832818831855</v>
      </c>
      <c r="Y24" s="262">
        <v>25810783929</v>
      </c>
      <c r="Z24" s="1">
        <f t="shared" si="12"/>
        <v>0.14476357525664099</v>
      </c>
      <c r="AA24" s="262">
        <v>26349842579</v>
      </c>
      <c r="AB24" s="1">
        <f t="shared" si="13"/>
        <v>2.0885016568378403E-2</v>
      </c>
      <c r="AC24" s="262">
        <v>19880557870</v>
      </c>
      <c r="AD24" s="1">
        <f t="shared" si="14"/>
        <v>-0.24551511795959713</v>
      </c>
      <c r="AE24" s="262">
        <v>14522428878</v>
      </c>
      <c r="AF24" s="1">
        <f t="shared" si="15"/>
        <v>-0.26951602802280922</v>
      </c>
      <c r="AG24" s="262">
        <v>13924848116</v>
      </c>
      <c r="AH24" s="1">
        <f t="shared" si="16"/>
        <v>-4.1148816566440476E-2</v>
      </c>
      <c r="AI24" s="262">
        <v>12756890079</v>
      </c>
      <c r="AJ24" s="1">
        <f t="shared" si="17"/>
        <v>-8.3875818771623575E-2</v>
      </c>
      <c r="AK24" s="262">
        <v>12251484406</v>
      </c>
      <c r="AL24" s="1">
        <f t="shared" si="18"/>
        <v>-3.9618250989869645E-2</v>
      </c>
      <c r="AM24" s="262">
        <v>14576199425</v>
      </c>
      <c r="AN24" s="1">
        <f t="shared" si="19"/>
        <v>0.18974966150726211</v>
      </c>
      <c r="AO24" s="262">
        <v>16258718078</v>
      </c>
      <c r="AP24" s="1">
        <f t="shared" si="20"/>
        <v>0.11542917354123673</v>
      </c>
    </row>
    <row r="25" spans="1:42" x14ac:dyDescent="0.2">
      <c r="A25" s="3" t="s">
        <v>113</v>
      </c>
      <c r="B25" s="320">
        <f t="shared" si="4"/>
        <v>1.0924836086879635E-3</v>
      </c>
      <c r="C25" s="320">
        <f>[1]Population!O21</f>
        <v>5.4292023108338916E-2</v>
      </c>
      <c r="D25" s="12">
        <v>191166668</v>
      </c>
      <c r="E25" s="5">
        <v>214591046</v>
      </c>
      <c r="F25" s="1">
        <f t="shared" si="5"/>
        <v>0.12253379862225773</v>
      </c>
      <c r="G25" s="5">
        <v>270725776</v>
      </c>
      <c r="H25" s="1">
        <f t="shared" si="6"/>
        <v>0.26158933956638619</v>
      </c>
      <c r="I25" s="236">
        <v>276061955</v>
      </c>
      <c r="J25" s="1">
        <f t="shared" si="7"/>
        <v>1.9710642550711536E-2</v>
      </c>
      <c r="K25" s="5">
        <v>284290027</v>
      </c>
      <c r="L25" s="1">
        <f t="shared" si="8"/>
        <v>2.9805164568946125E-2</v>
      </c>
      <c r="M25" s="5">
        <v>292385438</v>
      </c>
      <c r="N25" s="1">
        <f t="shared" si="9"/>
        <v>2.8475888111263222E-2</v>
      </c>
      <c r="O25" s="236">
        <v>335758993.89999998</v>
      </c>
      <c r="P25" s="1">
        <f t="shared" si="10"/>
        <v>0.14834376224988324</v>
      </c>
      <c r="Q25" s="236">
        <v>380898015.00002849</v>
      </c>
      <c r="R25" s="1">
        <f t="shared" si="10"/>
        <v>0.13443875494061194</v>
      </c>
      <c r="S25" s="236">
        <v>408262587.1500169</v>
      </c>
      <c r="T25" s="1">
        <f t="shared" si="10"/>
        <v>7.1842254546761991E-2</v>
      </c>
      <c r="U25" s="262">
        <v>510361563</v>
      </c>
      <c r="V25" s="1">
        <f t="shared" si="11"/>
        <v>0.25008163633780783</v>
      </c>
      <c r="W25" s="262">
        <v>667995933</v>
      </c>
      <c r="X25" s="1">
        <f t="shared" si="12"/>
        <v>0.30886802891933302</v>
      </c>
      <c r="Y25" s="262">
        <v>1052660897</v>
      </c>
      <c r="Z25" s="1">
        <f t="shared" si="12"/>
        <v>0.57584926044751827</v>
      </c>
      <c r="AA25" s="262">
        <v>1154111239</v>
      </c>
      <c r="AB25" s="1">
        <f t="shared" si="13"/>
        <v>9.6375140645126478E-2</v>
      </c>
      <c r="AC25" s="262">
        <v>1031163955</v>
      </c>
      <c r="AD25" s="1">
        <f t="shared" si="14"/>
        <v>-0.10652983858516951</v>
      </c>
      <c r="AE25" s="262">
        <v>798463333</v>
      </c>
      <c r="AF25" s="1">
        <f t="shared" si="15"/>
        <v>-0.22566791718393608</v>
      </c>
      <c r="AG25" s="262">
        <v>709780104</v>
      </c>
      <c r="AH25" s="1">
        <f t="shared" si="16"/>
        <v>-0.11106737821860631</v>
      </c>
      <c r="AI25" s="262">
        <v>646739695</v>
      </c>
      <c r="AJ25" s="1">
        <f t="shared" si="17"/>
        <v>-8.8816816144511146E-2</v>
      </c>
      <c r="AK25" s="262">
        <v>538961318</v>
      </c>
      <c r="AL25" s="1">
        <f t="shared" si="18"/>
        <v>-0.16664877358424707</v>
      </c>
      <c r="AM25" s="262">
        <v>696485451</v>
      </c>
      <c r="AN25" s="1">
        <f t="shared" si="19"/>
        <v>0.29227354123399263</v>
      </c>
      <c r="AO25" s="262">
        <v>752010556</v>
      </c>
      <c r="AP25" s="1">
        <f t="shared" si="20"/>
        <v>7.9721844756811724E-2</v>
      </c>
    </row>
    <row r="26" spans="1:42" x14ac:dyDescent="0.2">
      <c r="A26" s="3" t="s">
        <v>114</v>
      </c>
      <c r="B26" s="320">
        <f t="shared" si="4"/>
        <v>3.6700399345686453E-2</v>
      </c>
      <c r="C26" s="320">
        <f>[1]Population!O22</f>
        <v>5.5153266813752232E-2</v>
      </c>
      <c r="D26" s="12">
        <v>1133064911</v>
      </c>
      <c r="E26" s="5">
        <v>1218365843</v>
      </c>
      <c r="F26" s="1">
        <f t="shared" si="5"/>
        <v>7.5283358589506258E-2</v>
      </c>
      <c r="G26" s="5">
        <v>1494631916</v>
      </c>
      <c r="H26" s="1">
        <f t="shared" si="6"/>
        <v>0.2267513280902114</v>
      </c>
      <c r="I26" s="236">
        <v>1717120529</v>
      </c>
      <c r="J26" s="1">
        <f t="shared" si="7"/>
        <v>0.14885846516340548</v>
      </c>
      <c r="K26" s="5">
        <v>1961532813</v>
      </c>
      <c r="L26" s="1">
        <f t="shared" si="8"/>
        <v>0.14233845549696994</v>
      </c>
      <c r="M26" s="5">
        <v>2094280786.3333333</v>
      </c>
      <c r="N26" s="1">
        <f t="shared" si="9"/>
        <v>6.7675632267556282E-2</v>
      </c>
      <c r="O26" s="236">
        <v>2430813229.1499996</v>
      </c>
      <c r="P26" s="1">
        <f t="shared" si="10"/>
        <v>0.16069117618457807</v>
      </c>
      <c r="Q26" s="236">
        <v>2787033165.3333573</v>
      </c>
      <c r="R26" s="1">
        <f t="shared" si="10"/>
        <v>0.14654352375230398</v>
      </c>
      <c r="S26" s="236">
        <v>3369487415.8333445</v>
      </c>
      <c r="T26" s="1">
        <f t="shared" si="10"/>
        <v>0.20898719747754407</v>
      </c>
      <c r="U26" s="262">
        <v>4863589059</v>
      </c>
      <c r="V26" s="1">
        <f t="shared" si="11"/>
        <v>0.4434210485980204</v>
      </c>
      <c r="W26" s="262">
        <v>6985590175</v>
      </c>
      <c r="X26" s="1">
        <f t="shared" si="12"/>
        <v>0.43630353844827169</v>
      </c>
      <c r="Y26" s="262">
        <v>9093539492</v>
      </c>
      <c r="Z26" s="1">
        <f t="shared" si="12"/>
        <v>0.30175679709123504</v>
      </c>
      <c r="AA26" s="262">
        <v>9320405943</v>
      </c>
      <c r="AB26" s="1">
        <f t="shared" si="13"/>
        <v>2.4948091026556242E-2</v>
      </c>
      <c r="AC26" s="262">
        <v>6774486661</v>
      </c>
      <c r="AD26" s="1">
        <f t="shared" si="14"/>
        <v>-0.27315540734704669</v>
      </c>
      <c r="AE26" s="262">
        <v>4784719323</v>
      </c>
      <c r="AF26" s="1">
        <f t="shared" si="15"/>
        <v>-0.29371485066977537</v>
      </c>
      <c r="AG26" s="262">
        <v>4591616228</v>
      </c>
      <c r="AH26" s="1">
        <f t="shared" si="16"/>
        <v>-4.0358291043689709E-2</v>
      </c>
      <c r="AI26" s="262">
        <v>4183535695</v>
      </c>
      <c r="AJ26" s="1">
        <f t="shared" si="17"/>
        <v>-8.8875139544872264E-2</v>
      </c>
      <c r="AK26" s="262">
        <v>4068384524</v>
      </c>
      <c r="AL26" s="1">
        <f t="shared" si="18"/>
        <v>-2.7524844866896731E-2</v>
      </c>
      <c r="AM26" s="262">
        <v>4843331070</v>
      </c>
      <c r="AN26" s="1">
        <f t="shared" si="19"/>
        <v>0.19048016268582188</v>
      </c>
      <c r="AO26" s="262">
        <v>5568765728</v>
      </c>
      <c r="AP26" s="1">
        <f t="shared" si="20"/>
        <v>0.14978010949806905</v>
      </c>
    </row>
    <row r="27" spans="1:42" x14ac:dyDescent="0.2">
      <c r="A27" s="3" t="s">
        <v>115</v>
      </c>
      <c r="B27" s="320">
        <f t="shared" si="4"/>
        <v>-6.8041295614146777E-2</v>
      </c>
      <c r="C27" s="320">
        <f>[1]Population!O23</f>
        <v>7.4746963777228394E-3</v>
      </c>
      <c r="D27" s="12">
        <v>35120808</v>
      </c>
      <c r="E27" s="5">
        <v>30434934</v>
      </c>
      <c r="F27" s="1">
        <f t="shared" si="5"/>
        <v>-0.1334215887060457</v>
      </c>
      <c r="G27" s="5">
        <v>35494081</v>
      </c>
      <c r="H27" s="1">
        <f t="shared" si="6"/>
        <v>0.16622828884728319</v>
      </c>
      <c r="I27" s="236">
        <v>31874149</v>
      </c>
      <c r="J27" s="1">
        <f t="shared" si="7"/>
        <v>-0.1019869200163261</v>
      </c>
      <c r="K27" s="5">
        <v>31754997</v>
      </c>
      <c r="L27" s="1">
        <f t="shared" si="8"/>
        <v>-3.7382017634415904E-3</v>
      </c>
      <c r="M27" s="5">
        <v>29900773</v>
      </c>
      <c r="N27" s="1">
        <f t="shared" si="9"/>
        <v>-5.8391565900636051E-2</v>
      </c>
      <c r="O27" s="236">
        <v>30747405.416666664</v>
      </c>
      <c r="P27" s="1">
        <f t="shared" si="10"/>
        <v>2.831473342400426E-2</v>
      </c>
      <c r="Q27" s="236">
        <v>37457296.333337948</v>
      </c>
      <c r="R27" s="1">
        <f t="shared" si="10"/>
        <v>0.21822624789778783</v>
      </c>
      <c r="S27" s="236">
        <v>34870711.983333334</v>
      </c>
      <c r="T27" s="1">
        <f t="shared" si="10"/>
        <v>-6.9054219156295255E-2</v>
      </c>
      <c r="U27" s="262">
        <v>36367742</v>
      </c>
      <c r="V27" s="1">
        <f t="shared" si="11"/>
        <v>4.2930870392958426E-2</v>
      </c>
      <c r="W27" s="262">
        <v>46154494</v>
      </c>
      <c r="X27" s="1">
        <f t="shared" si="12"/>
        <v>0.26910529666647987</v>
      </c>
      <c r="Y27" s="262">
        <v>59494115</v>
      </c>
      <c r="Z27" s="1">
        <f t="shared" si="12"/>
        <v>0.28902106477432077</v>
      </c>
      <c r="AA27" s="262">
        <v>63301289</v>
      </c>
      <c r="AB27" s="1">
        <f t="shared" si="13"/>
        <v>6.3992446984042037E-2</v>
      </c>
      <c r="AC27" s="262">
        <v>62794272</v>
      </c>
      <c r="AD27" s="1">
        <f t="shared" si="14"/>
        <v>-8.0095841334289417E-3</v>
      </c>
      <c r="AE27" s="262">
        <v>44661470</v>
      </c>
      <c r="AF27" s="1">
        <f t="shared" si="15"/>
        <v>-0.28876522368154856</v>
      </c>
      <c r="AG27" s="262">
        <v>28024091</v>
      </c>
      <c r="AH27" s="1">
        <f t="shared" si="16"/>
        <v>-0.37252197475810805</v>
      </c>
      <c r="AI27" s="262">
        <v>24253791</v>
      </c>
      <c r="AJ27" s="1">
        <f t="shared" si="17"/>
        <v>-0.13453781605262416</v>
      </c>
      <c r="AK27" s="262">
        <v>26301913</v>
      </c>
      <c r="AL27" s="1">
        <f t="shared" si="18"/>
        <v>8.4445437828667688E-2</v>
      </c>
      <c r="AM27" s="262">
        <v>33853317</v>
      </c>
      <c r="AN27" s="1">
        <f t="shared" si="19"/>
        <v>0.28710474405416825</v>
      </c>
      <c r="AO27" s="262">
        <v>26923649</v>
      </c>
      <c r="AP27" s="1">
        <f t="shared" si="20"/>
        <v>-0.20469686914283761</v>
      </c>
    </row>
    <row r="28" spans="1:42" x14ac:dyDescent="0.2">
      <c r="A28" s="3" t="s">
        <v>116</v>
      </c>
      <c r="B28" s="320">
        <f t="shared" si="4"/>
        <v>4.7312865956431825E-2</v>
      </c>
      <c r="C28" s="320">
        <f>[1]Population!O24</f>
        <v>0.14104017629250504</v>
      </c>
      <c r="D28" s="12"/>
      <c r="E28" s="5">
        <v>361460766</v>
      </c>
      <c r="F28" s="1">
        <v>0</v>
      </c>
      <c r="G28" s="5">
        <v>463261637</v>
      </c>
      <c r="H28" s="1">
        <f t="shared" si="6"/>
        <v>0.28163740183077018</v>
      </c>
      <c r="I28" s="236">
        <v>724735463</v>
      </c>
      <c r="J28" s="1">
        <f t="shared" si="7"/>
        <v>0.56441933697177693</v>
      </c>
      <c r="K28" s="5">
        <v>928629308</v>
      </c>
      <c r="L28" s="1">
        <f t="shared" si="8"/>
        <v>0.28133554298004593</v>
      </c>
      <c r="M28" s="5">
        <v>1311659532.3333333</v>
      </c>
      <c r="N28" s="1">
        <f t="shared" si="9"/>
        <v>0.41246837789157226</v>
      </c>
      <c r="O28" s="236">
        <v>1714304830.0666666</v>
      </c>
      <c r="P28" s="1">
        <f t="shared" si="10"/>
        <v>0.306973942404902</v>
      </c>
      <c r="Q28" s="236">
        <v>2259252878.3333683</v>
      </c>
      <c r="R28" s="1">
        <f t="shared" si="10"/>
        <v>0.31788281681823738</v>
      </c>
      <c r="S28" s="236">
        <v>3031123238.7666664</v>
      </c>
      <c r="T28" s="1">
        <f t="shared" si="10"/>
        <v>0.34164850151821002</v>
      </c>
      <c r="U28" s="262">
        <v>4606394391</v>
      </c>
      <c r="V28" s="1">
        <f t="shared" si="11"/>
        <v>0.51969881398629492</v>
      </c>
      <c r="W28" s="262">
        <v>7827810446</v>
      </c>
      <c r="X28" s="1">
        <f t="shared" si="12"/>
        <v>0.69933570197419948</v>
      </c>
      <c r="Y28" s="262">
        <v>10745881472</v>
      </c>
      <c r="Z28" s="1">
        <f t="shared" si="12"/>
        <v>0.37278253556729013</v>
      </c>
      <c r="AA28" s="262">
        <v>11304262419</v>
      </c>
      <c r="AB28" s="1">
        <f t="shared" si="13"/>
        <v>5.1962321420996965E-2</v>
      </c>
      <c r="AC28" s="262">
        <v>8651153282</v>
      </c>
      <c r="AD28" s="1">
        <f t="shared" si="14"/>
        <v>-0.23469988917991697</v>
      </c>
      <c r="AE28" s="262">
        <v>5979000173</v>
      </c>
      <c r="AF28" s="1">
        <f t="shared" si="15"/>
        <v>-0.30887825263249102</v>
      </c>
      <c r="AG28" s="262">
        <v>5353097461</v>
      </c>
      <c r="AH28" s="1">
        <f t="shared" si="16"/>
        <v>-0.1046835079260333</v>
      </c>
      <c r="AI28" s="262">
        <v>4904537663</v>
      </c>
      <c r="AJ28" s="1">
        <f t="shared" si="17"/>
        <v>-8.3794438877301064E-2</v>
      </c>
      <c r="AK28" s="262">
        <v>5016974976</v>
      </c>
      <c r="AL28" s="1">
        <f t="shared" si="18"/>
        <v>2.2925160479086732E-2</v>
      </c>
      <c r="AM28" s="262">
        <v>6226423800</v>
      </c>
      <c r="AN28" s="1">
        <f t="shared" si="19"/>
        <v>0.24107132879588036</v>
      </c>
      <c r="AO28" s="262">
        <v>7229163123</v>
      </c>
      <c r="AP28" s="1">
        <f t="shared" si="20"/>
        <v>0.16104578731052646</v>
      </c>
    </row>
    <row r="29" spans="1:42" x14ac:dyDescent="0.2">
      <c r="A29" s="3" t="s">
        <v>117</v>
      </c>
      <c r="B29" s="320">
        <f t="shared" si="4"/>
        <v>0</v>
      </c>
      <c r="C29" s="320">
        <f>[1]Population!O25</f>
        <v>0</v>
      </c>
      <c r="D29" s="12">
        <v>1384788</v>
      </c>
      <c r="F29" s="1">
        <f t="shared" ref="F29:F45" si="21">SUM((E29-D29)/D29)</f>
        <v>-1</v>
      </c>
      <c r="H29" s="1"/>
      <c r="J29" s="1"/>
      <c r="L29" s="1"/>
      <c r="N29" s="1"/>
      <c r="O29" s="236"/>
      <c r="P29" s="1"/>
      <c r="Q29" s="236"/>
      <c r="R29" s="1"/>
      <c r="S29" s="236">
        <v>0</v>
      </c>
      <c r="T29" s="1"/>
      <c r="V29" s="1"/>
      <c r="X29" s="1"/>
      <c r="Z29" s="1"/>
      <c r="AB29" s="1"/>
      <c r="AD29" s="1"/>
      <c r="AF29" s="1"/>
      <c r="AH29" s="1"/>
      <c r="AJ29" s="1"/>
      <c r="AL29" s="1"/>
      <c r="AN29" s="1"/>
      <c r="AO29" s="262"/>
      <c r="AP29" s="1"/>
    </row>
    <row r="30" spans="1:42" x14ac:dyDescent="0.2">
      <c r="A30" s="3" t="s">
        <v>118</v>
      </c>
      <c r="B30" s="320">
        <f t="shared" si="4"/>
        <v>-3.6419406898587262E-2</v>
      </c>
      <c r="C30" s="320">
        <f>[1]Population!O26</f>
        <v>-3.5003598071684169E-3</v>
      </c>
      <c r="D30" s="12">
        <v>464582382</v>
      </c>
      <c r="E30" s="5">
        <v>440894376</v>
      </c>
      <c r="F30" s="1">
        <f t="shared" si="21"/>
        <v>-5.0987740641443437E-2</v>
      </c>
      <c r="G30" s="5">
        <v>408565846</v>
      </c>
      <c r="H30" s="1">
        <f>SUM((G30-E30)/E30)</f>
        <v>-7.3324886321525673E-2</v>
      </c>
      <c r="I30" s="236">
        <v>361450761</v>
      </c>
      <c r="J30" s="1">
        <f t="shared" si="7"/>
        <v>-0.11531821727457855</v>
      </c>
      <c r="K30" s="5">
        <v>363926444</v>
      </c>
      <c r="L30" s="1">
        <f t="shared" si="8"/>
        <v>6.849295304153475E-3</v>
      </c>
      <c r="M30" s="5">
        <v>380797035.33333331</v>
      </c>
      <c r="N30" s="1">
        <f t="shared" si="9"/>
        <v>4.6357146097724386E-2</v>
      </c>
      <c r="O30" s="236">
        <v>369515277.5</v>
      </c>
      <c r="P30" s="1">
        <f t="shared" si="10"/>
        <v>-2.9626695553072645E-2</v>
      </c>
      <c r="Q30" s="236">
        <v>366661084.00001502</v>
      </c>
      <c r="R30" s="1">
        <f t="shared" si="10"/>
        <v>-7.7241555999940483E-3</v>
      </c>
      <c r="S30" s="236">
        <v>360348091.11666667</v>
      </c>
      <c r="T30" s="1">
        <f t="shared" si="10"/>
        <v>-1.7217515462721118E-2</v>
      </c>
      <c r="U30" s="262">
        <v>400552849</v>
      </c>
      <c r="V30" s="1">
        <f t="shared" ref="V30:V45" si="22">SUM((U30-S30)/S30)</f>
        <v>0.11157200183507172</v>
      </c>
      <c r="W30" s="262">
        <v>518362949</v>
      </c>
      <c r="X30" s="1">
        <f t="shared" ref="X30:Z45" si="23">SUM((W30-U30)/U30)</f>
        <v>0.2941187418691909</v>
      </c>
      <c r="Y30" s="262">
        <v>691435933</v>
      </c>
      <c r="Z30" s="1">
        <f t="shared" si="23"/>
        <v>0.33388378612685143</v>
      </c>
      <c r="AA30" s="262">
        <v>751475778</v>
      </c>
      <c r="AB30" s="1">
        <f t="shared" si="13"/>
        <v>8.683356206192426E-2</v>
      </c>
      <c r="AC30" s="262">
        <v>629095694</v>
      </c>
      <c r="AD30" s="1">
        <f t="shared" ref="AD30:AD45" si="24">SUM((AC30-AA30)/AA30)</f>
        <v>-0.16285299883611151</v>
      </c>
      <c r="AE30" s="262">
        <v>468970811</v>
      </c>
      <c r="AF30" s="1">
        <f t="shared" ref="AF30:AF45" si="25">SUM((AE30-AC30)/AC30)</f>
        <v>-0.25453183756810138</v>
      </c>
      <c r="AG30" s="262">
        <v>441964019</v>
      </c>
      <c r="AH30" s="1">
        <f t="shared" ref="AH30:AH45" si="26">SUM((AG30-AE30)/AE30)</f>
        <v>-5.758736229747996E-2</v>
      </c>
      <c r="AI30" s="262">
        <v>408300758</v>
      </c>
      <c r="AJ30" s="1">
        <f t="shared" ref="AJ30:AJ45" si="27">SUM((AI30-AG30)/AG30)</f>
        <v>-7.6167424389359625E-2</v>
      </c>
      <c r="AK30" s="262">
        <v>338301788</v>
      </c>
      <c r="AL30" s="1">
        <f t="shared" ref="AL30:AL45" si="28">SUM((AK30-AI30)/AI30)</f>
        <v>-0.17143972581113848</v>
      </c>
      <c r="AM30" s="262">
        <v>381770040</v>
      </c>
      <c r="AN30" s="1">
        <f t="shared" ref="AN30:AN45" si="29">SUM((AM30-AK30)/AK30)</f>
        <v>0.12848957215679865</v>
      </c>
      <c r="AO30" s="262">
        <v>379711500</v>
      </c>
      <c r="AP30" s="1">
        <f t="shared" si="20"/>
        <v>-5.3920941517569057E-3</v>
      </c>
    </row>
    <row r="31" spans="1:42" x14ac:dyDescent="0.2">
      <c r="A31" s="3" t="s">
        <v>119</v>
      </c>
      <c r="B31" s="320">
        <f t="shared" si="4"/>
        <v>-6.2134321048271338E-2</v>
      </c>
      <c r="C31" s="320">
        <f>[1]Population!O27</f>
        <v>2.5435794108361089E-2</v>
      </c>
      <c r="D31" s="12">
        <v>60378637</v>
      </c>
      <c r="E31" s="5">
        <v>62306727</v>
      </c>
      <c r="F31" s="1">
        <f t="shared" si="21"/>
        <v>3.1933314427087849E-2</v>
      </c>
      <c r="G31" s="5">
        <v>91627163</v>
      </c>
      <c r="H31" s="1">
        <f>SUM((G31-E31)/E31)</f>
        <v>0.47058218930357232</v>
      </c>
      <c r="I31" s="236">
        <v>95055000</v>
      </c>
      <c r="J31" s="1">
        <f t="shared" si="7"/>
        <v>3.7410707564960843E-2</v>
      </c>
      <c r="K31" s="5">
        <v>96645445</v>
      </c>
      <c r="L31" s="1">
        <f t="shared" si="8"/>
        <v>1.6731839461364473E-2</v>
      </c>
      <c r="M31" s="5">
        <v>104772415</v>
      </c>
      <c r="N31" s="1">
        <f t="shared" si="9"/>
        <v>8.4090564226798267E-2</v>
      </c>
      <c r="O31" s="236">
        <v>118675116.81666666</v>
      </c>
      <c r="P31" s="1">
        <f t="shared" si="10"/>
        <v>0.13269429569478439</v>
      </c>
      <c r="Q31" s="236">
        <v>123693559.66668308</v>
      </c>
      <c r="R31" s="1">
        <f t="shared" si="10"/>
        <v>4.2287237498734261E-2</v>
      </c>
      <c r="S31" s="236">
        <v>130040653.8</v>
      </c>
      <c r="T31" s="1">
        <f t="shared" si="10"/>
        <v>5.1313052598861479E-2</v>
      </c>
      <c r="U31" s="262">
        <v>149733015</v>
      </c>
      <c r="V31" s="1">
        <f t="shared" si="22"/>
        <v>0.15143234538244074</v>
      </c>
      <c r="W31" s="262">
        <v>209089516</v>
      </c>
      <c r="X31" s="1">
        <f t="shared" si="23"/>
        <v>0.39641558676955779</v>
      </c>
      <c r="Y31" s="262">
        <v>307926422</v>
      </c>
      <c r="Z31" s="1">
        <f t="shared" si="23"/>
        <v>0.47270139551138468</v>
      </c>
      <c r="AA31" s="262">
        <v>326473509</v>
      </c>
      <c r="AB31" s="1">
        <f t="shared" si="13"/>
        <v>6.0232203782759508E-2</v>
      </c>
      <c r="AC31" s="262">
        <v>276839123</v>
      </c>
      <c r="AD31" s="1">
        <f t="shared" si="24"/>
        <v>-0.15203189426312688</v>
      </c>
      <c r="AE31" s="262">
        <v>209937068</v>
      </c>
      <c r="AF31" s="1">
        <f t="shared" si="25"/>
        <v>-0.24166401870880078</v>
      </c>
      <c r="AG31" s="262">
        <v>168526610</v>
      </c>
      <c r="AH31" s="1">
        <f t="shared" si="26"/>
        <v>-0.19725176880149625</v>
      </c>
      <c r="AI31" s="262">
        <v>148157543</v>
      </c>
      <c r="AJ31" s="1">
        <f t="shared" si="27"/>
        <v>-0.12086558318594316</v>
      </c>
      <c r="AK31" s="262">
        <v>142477099</v>
      </c>
      <c r="AL31" s="1">
        <f t="shared" si="28"/>
        <v>-3.8340565623445851E-2</v>
      </c>
      <c r="AM31" s="262">
        <v>147449950</v>
      </c>
      <c r="AN31" s="1">
        <f t="shared" si="29"/>
        <v>3.4902809187601441E-2</v>
      </c>
      <c r="AO31" s="262">
        <v>149054722</v>
      </c>
      <c r="AP31" s="1">
        <f t="shared" si="20"/>
        <v>1.0883503181927155E-2</v>
      </c>
    </row>
    <row r="32" spans="1:42" x14ac:dyDescent="0.2">
      <c r="A32" s="3" t="s">
        <v>120</v>
      </c>
      <c r="B32" s="320">
        <f t="shared" si="4"/>
        <v>-4.1966755794425204E-3</v>
      </c>
      <c r="C32" s="320">
        <f>[1]Population!O28</f>
        <v>-1.0482206342015483E-2</v>
      </c>
      <c r="D32" s="12">
        <v>4888831820</v>
      </c>
      <c r="E32" s="5">
        <v>5424668181</v>
      </c>
      <c r="F32" s="1">
        <f t="shared" si="21"/>
        <v>0.10960417145214867</v>
      </c>
      <c r="G32" s="5">
        <v>6128999085</v>
      </c>
      <c r="H32" s="1">
        <f>SUM((G32-E32)/E32)</f>
        <v>0.12983852292881837</v>
      </c>
      <c r="I32" s="236">
        <v>7809166609</v>
      </c>
      <c r="J32" s="1">
        <f t="shared" si="7"/>
        <v>0.27413407975733123</v>
      </c>
      <c r="K32" s="5">
        <v>8578113311</v>
      </c>
      <c r="L32" s="1">
        <f t="shared" si="8"/>
        <v>9.8467191251086286E-2</v>
      </c>
      <c r="M32" s="5">
        <v>8669475771.3333321</v>
      </c>
      <c r="N32" s="1">
        <f t="shared" si="9"/>
        <v>1.0650647411730378E-2</v>
      </c>
      <c r="O32" s="236">
        <v>9381132555.8833332</v>
      </c>
      <c r="P32" s="1">
        <f t="shared" si="10"/>
        <v>8.2087637513583028E-2</v>
      </c>
      <c r="Q32" s="236">
        <v>9535562352.6666679</v>
      </c>
      <c r="R32" s="1">
        <f t="shared" si="10"/>
        <v>1.6461743383690365E-2</v>
      </c>
      <c r="S32" s="236">
        <v>10202990846.366667</v>
      </c>
      <c r="T32" s="1">
        <f t="shared" si="10"/>
        <v>6.9993616424032831E-2</v>
      </c>
      <c r="U32" s="262">
        <v>12173683767</v>
      </c>
      <c r="V32" s="1">
        <f t="shared" si="22"/>
        <v>0.19314855323379088</v>
      </c>
      <c r="W32" s="262">
        <v>16237466547</v>
      </c>
      <c r="X32" s="1">
        <f t="shared" si="23"/>
        <v>0.33381701527486374</v>
      </c>
      <c r="Y32" s="262">
        <v>19250064382</v>
      </c>
      <c r="Z32" s="1">
        <f t="shared" si="23"/>
        <v>0.18553373620693317</v>
      </c>
      <c r="AA32" s="262">
        <v>23115518054</v>
      </c>
      <c r="AB32" s="1">
        <f t="shared" si="13"/>
        <v>0.20080211656925356</v>
      </c>
      <c r="AC32" s="262">
        <v>21196965616</v>
      </c>
      <c r="AD32" s="1">
        <f t="shared" si="24"/>
        <v>-8.2998461618644367E-2</v>
      </c>
      <c r="AE32" s="262">
        <v>14094395740</v>
      </c>
      <c r="AF32" s="1">
        <f t="shared" si="25"/>
        <v>-0.33507484064788984</v>
      </c>
      <c r="AG32" s="262">
        <v>13423528050</v>
      </c>
      <c r="AH32" s="1">
        <f t="shared" si="26"/>
        <v>-4.7598187419704167E-2</v>
      </c>
      <c r="AI32" s="262">
        <v>13048780838</v>
      </c>
      <c r="AJ32" s="1">
        <f t="shared" si="27"/>
        <v>-2.7917192157243639E-2</v>
      </c>
      <c r="AK32" s="262">
        <v>12129885719</v>
      </c>
      <c r="AL32" s="1">
        <f t="shared" si="28"/>
        <v>-7.0419997883943306E-2</v>
      </c>
      <c r="AM32" s="262">
        <v>13613657650</v>
      </c>
      <c r="AN32" s="1">
        <f t="shared" si="29"/>
        <v>0.12232365294883617</v>
      </c>
      <c r="AO32" s="262">
        <v>13649439061</v>
      </c>
      <c r="AP32" s="1">
        <f t="shared" si="20"/>
        <v>2.6283466148423382E-3</v>
      </c>
    </row>
    <row r="33" spans="1:42" x14ac:dyDescent="0.2">
      <c r="A33" s="3" t="s">
        <v>121</v>
      </c>
      <c r="B33" s="320">
        <f t="shared" si="4"/>
        <v>4.7093771947092772E-3</v>
      </c>
      <c r="C33" s="320">
        <f>[1]Population!O29</f>
        <v>-7.4483605669261516E-2</v>
      </c>
      <c r="D33" s="12">
        <v>28854246</v>
      </c>
      <c r="E33" s="5">
        <v>27993841</v>
      </c>
      <c r="F33" s="1">
        <f t="shared" si="21"/>
        <v>-2.9819008266582327E-2</v>
      </c>
      <c r="G33" s="5">
        <v>25146611</v>
      </c>
      <c r="H33" s="1">
        <f t="shared" ref="H33:H45" si="30">SUM((G33-E33)/E33)</f>
        <v>-0.10170915809659703</v>
      </c>
      <c r="I33" s="236">
        <v>27150672</v>
      </c>
      <c r="J33" s="1">
        <f t="shared" si="7"/>
        <v>7.9695073025943738E-2</v>
      </c>
      <c r="K33" s="5">
        <v>27652568</v>
      </c>
      <c r="L33" s="1">
        <f t="shared" si="8"/>
        <v>1.8485582971942648E-2</v>
      </c>
      <c r="M33" s="5">
        <v>24955088.666666668</v>
      </c>
      <c r="N33" s="1">
        <f t="shared" si="9"/>
        <v>-9.7548963023373889E-2</v>
      </c>
      <c r="O33" s="236">
        <v>25047712.333333332</v>
      </c>
      <c r="P33" s="1">
        <f t="shared" si="10"/>
        <v>3.7116144087432018E-3</v>
      </c>
      <c r="Q33" s="236">
        <v>28285448.000009201</v>
      </c>
      <c r="R33" s="1">
        <f t="shared" si="10"/>
        <v>0.12926272960932692</v>
      </c>
      <c r="S33" s="236">
        <v>27324753.116666667</v>
      </c>
      <c r="T33" s="1">
        <f t="shared" si="10"/>
        <v>-3.3964280266737222E-2</v>
      </c>
      <c r="U33" s="262">
        <v>25105908</v>
      </c>
      <c r="V33" s="1">
        <f t="shared" si="22"/>
        <v>-8.1202750751050268E-2</v>
      </c>
      <c r="W33" s="262">
        <v>27099326</v>
      </c>
      <c r="X33" s="1">
        <f t="shared" si="23"/>
        <v>7.9400354689422109E-2</v>
      </c>
      <c r="Y33" s="262">
        <v>35567021</v>
      </c>
      <c r="Z33" s="1">
        <f t="shared" si="23"/>
        <v>0.31246884147598358</v>
      </c>
      <c r="AA33" s="262">
        <v>33478879</v>
      </c>
      <c r="AB33" s="1">
        <f t="shared" si="13"/>
        <v>-5.8710061773236503E-2</v>
      </c>
      <c r="AC33" s="262">
        <v>34266640</v>
      </c>
      <c r="AD33" s="1">
        <f t="shared" si="24"/>
        <v>2.3530088925617851E-2</v>
      </c>
      <c r="AE33" s="262">
        <v>30290165</v>
      </c>
      <c r="AF33" s="1">
        <f t="shared" si="25"/>
        <v>-0.11604508057982925</v>
      </c>
      <c r="AG33" s="262">
        <v>27255361</v>
      </c>
      <c r="AH33" s="1">
        <f t="shared" si="26"/>
        <v>-0.1001910686191376</v>
      </c>
      <c r="AI33" s="262">
        <v>26135479</v>
      </c>
      <c r="AJ33" s="1">
        <f t="shared" si="27"/>
        <v>-4.1088503652547473E-2</v>
      </c>
      <c r="AK33" s="262">
        <v>26079928</v>
      </c>
      <c r="AL33" s="1">
        <f t="shared" si="28"/>
        <v>-2.1255015069744847E-3</v>
      </c>
      <c r="AM33" s="262">
        <v>30170398</v>
      </c>
      <c r="AN33" s="1">
        <f t="shared" si="29"/>
        <v>0.15684360785045112</v>
      </c>
      <c r="AO33" s="262">
        <v>30475371</v>
      </c>
      <c r="AP33" s="1">
        <f t="shared" si="20"/>
        <v>1.0108351901754827E-2</v>
      </c>
    </row>
    <row r="34" spans="1:42" x14ac:dyDescent="0.2">
      <c r="A34" s="3" t="s">
        <v>122</v>
      </c>
      <c r="B34" s="320">
        <f t="shared" si="4"/>
        <v>2.0543106334658043E-2</v>
      </c>
      <c r="C34" s="320">
        <f>[1]Population!O30</f>
        <v>1.6019227144060448E-2</v>
      </c>
      <c r="D34" s="12">
        <v>1599007217</v>
      </c>
      <c r="E34" s="5">
        <v>1787932524</v>
      </c>
      <c r="F34" s="1">
        <f t="shared" si="21"/>
        <v>0.11815162870525055</v>
      </c>
      <c r="G34" s="5">
        <v>2034248827</v>
      </c>
      <c r="H34" s="1">
        <f t="shared" si="30"/>
        <v>0.13776599490954838</v>
      </c>
      <c r="I34" s="236">
        <v>2396383020</v>
      </c>
      <c r="J34" s="1">
        <f t="shared" si="7"/>
        <v>0.17801863183770683</v>
      </c>
      <c r="K34" s="5">
        <v>2578817858</v>
      </c>
      <c r="L34" s="1">
        <f t="shared" si="8"/>
        <v>7.6129248320245563E-2</v>
      </c>
      <c r="M34" s="5">
        <v>2922081785.6666665</v>
      </c>
      <c r="N34" s="1">
        <f t="shared" si="9"/>
        <v>0.13310902381174161</v>
      </c>
      <c r="O34" s="236">
        <v>3370840323.0833335</v>
      </c>
      <c r="P34" s="1">
        <f t="shared" si="10"/>
        <v>0.15357494085822918</v>
      </c>
      <c r="Q34" s="236">
        <v>3794213313.6666722</v>
      </c>
      <c r="R34" s="1">
        <f t="shared" si="10"/>
        <v>0.12559864900277334</v>
      </c>
      <c r="S34" s="236">
        <v>4424821141.3166666</v>
      </c>
      <c r="T34" s="1">
        <f t="shared" si="10"/>
        <v>0.16620252355832471</v>
      </c>
      <c r="U34" s="262">
        <v>5624960882</v>
      </c>
      <c r="V34" s="1">
        <f t="shared" si="22"/>
        <v>0.27122898358016234</v>
      </c>
      <c r="W34" s="262">
        <v>8057010571</v>
      </c>
      <c r="X34" s="1">
        <f t="shared" si="23"/>
        <v>0.43236739597294144</v>
      </c>
      <c r="Y34" s="262">
        <v>9284395964</v>
      </c>
      <c r="Z34" s="1">
        <f t="shared" si="23"/>
        <v>0.15233756766036644</v>
      </c>
      <c r="AA34" s="262">
        <v>9207646976</v>
      </c>
      <c r="AB34" s="1">
        <f t="shared" si="13"/>
        <v>-8.2664492442580187E-3</v>
      </c>
      <c r="AC34" s="262">
        <v>7419366351</v>
      </c>
      <c r="AD34" s="1">
        <f t="shared" si="24"/>
        <v>-0.19421689707057682</v>
      </c>
      <c r="AE34" s="262">
        <v>5299930742</v>
      </c>
      <c r="AF34" s="1">
        <f t="shared" si="25"/>
        <v>-0.28566261709321544</v>
      </c>
      <c r="AG34" s="262">
        <v>4948784539</v>
      </c>
      <c r="AH34" s="1">
        <f t="shared" si="26"/>
        <v>-6.6254866354629058E-2</v>
      </c>
      <c r="AI34" s="262">
        <v>4584372258</v>
      </c>
      <c r="AJ34" s="1">
        <f t="shared" si="27"/>
        <v>-7.3636723952754002E-2</v>
      </c>
      <c r="AK34" s="262">
        <v>4532441009</v>
      </c>
      <c r="AL34" s="1">
        <f t="shared" si="28"/>
        <v>-1.1327886584554058E-2</v>
      </c>
      <c r="AM34" s="262">
        <v>5204101491</v>
      </c>
      <c r="AN34" s="1">
        <f t="shared" si="29"/>
        <v>0.14818956952032997</v>
      </c>
      <c r="AO34" s="262">
        <v>5754411488</v>
      </c>
      <c r="AP34" s="1">
        <f t="shared" si="20"/>
        <v>0.10574543904489736</v>
      </c>
    </row>
    <row r="35" spans="1:42" x14ac:dyDescent="0.2">
      <c r="A35" s="3" t="s">
        <v>123</v>
      </c>
      <c r="B35" s="320">
        <f t="shared" si="4"/>
        <v>4.5664618647158706E-2</v>
      </c>
      <c r="C35" s="320">
        <f>[1]Population!O31</f>
        <v>9.9238047896849424E-2</v>
      </c>
      <c r="D35" s="12">
        <v>3937570</v>
      </c>
      <c r="E35" s="5">
        <v>31054053</v>
      </c>
      <c r="F35" s="1">
        <f t="shared" si="21"/>
        <v>6.8866034127647255</v>
      </c>
      <c r="G35" s="5">
        <v>67574960</v>
      </c>
      <c r="H35" s="1">
        <f t="shared" si="30"/>
        <v>1.1760431722068614</v>
      </c>
      <c r="I35" s="236">
        <v>107456853</v>
      </c>
      <c r="J35" s="1">
        <f t="shared" si="7"/>
        <v>0.59018744517199861</v>
      </c>
      <c r="K35" s="5">
        <v>219892116</v>
      </c>
      <c r="L35" s="1">
        <f t="shared" si="8"/>
        <v>1.0463293858047378</v>
      </c>
      <c r="M35" s="5">
        <v>344853132</v>
      </c>
      <c r="N35" s="1">
        <f t="shared" si="9"/>
        <v>0.56828329397676081</v>
      </c>
      <c r="O35" s="236">
        <v>578597681.5</v>
      </c>
      <c r="P35" s="1">
        <f t="shared" si="10"/>
        <v>0.67780897956292885</v>
      </c>
      <c r="Q35" s="236">
        <v>862915519.33334863</v>
      </c>
      <c r="R35" s="1">
        <f t="shared" si="10"/>
        <v>0.49139124978216603</v>
      </c>
      <c r="S35" s="236">
        <v>1167941044.1666667</v>
      </c>
      <c r="T35" s="1">
        <f t="shared" si="10"/>
        <v>0.35348248814549971</v>
      </c>
      <c r="U35" s="262">
        <v>1685758180</v>
      </c>
      <c r="V35" s="1">
        <f t="shared" si="22"/>
        <v>0.44335896783454426</v>
      </c>
      <c r="W35" s="262">
        <v>2600654444</v>
      </c>
      <c r="X35" s="1">
        <f t="shared" si="23"/>
        <v>0.54272093996304971</v>
      </c>
      <c r="Y35" s="262">
        <v>2849832996</v>
      </c>
      <c r="Z35" s="1">
        <f t="shared" si="23"/>
        <v>9.5813787400660905E-2</v>
      </c>
      <c r="AA35" s="262">
        <v>2852749492</v>
      </c>
      <c r="AB35" s="1">
        <f t="shared" si="13"/>
        <v>1.0233918984353003E-3</v>
      </c>
      <c r="AC35" s="262">
        <v>2255706303</v>
      </c>
      <c r="AD35" s="1">
        <f t="shared" si="24"/>
        <v>-0.20928693201919601</v>
      </c>
      <c r="AE35" s="262">
        <v>1672920907</v>
      </c>
      <c r="AF35" s="1">
        <f t="shared" si="25"/>
        <v>-0.25836049454883314</v>
      </c>
      <c r="AG35" s="262">
        <v>1607809062</v>
      </c>
      <c r="AH35" s="1">
        <f t="shared" si="26"/>
        <v>-3.8921054024462616E-2</v>
      </c>
      <c r="AI35" s="262">
        <v>1591893056</v>
      </c>
      <c r="AJ35" s="1">
        <f t="shared" si="27"/>
        <v>-9.8991891364274449E-3</v>
      </c>
      <c r="AK35" s="262">
        <v>1690735875</v>
      </c>
      <c r="AL35" s="1">
        <f t="shared" si="28"/>
        <v>6.2091368906630875E-2</v>
      </c>
      <c r="AM35" s="262">
        <v>1902010538</v>
      </c>
      <c r="AN35" s="1">
        <f t="shared" si="29"/>
        <v>0.12496018220468647</v>
      </c>
      <c r="AO35" s="262">
        <v>2073366063</v>
      </c>
      <c r="AP35" s="1">
        <f t="shared" si="20"/>
        <v>9.009178528536628E-2</v>
      </c>
    </row>
    <row r="36" spans="1:42" x14ac:dyDescent="0.2">
      <c r="A36" s="3" t="s">
        <v>124</v>
      </c>
      <c r="B36" s="320">
        <f t="shared" si="4"/>
        <v>3.5974285922097157E-2</v>
      </c>
      <c r="C36" s="320">
        <f>[1]Population!O32</f>
        <v>-5.1770595173666386E-3</v>
      </c>
      <c r="D36" s="12">
        <v>1378846217</v>
      </c>
      <c r="E36" s="5">
        <v>1547708731</v>
      </c>
      <c r="F36" s="1">
        <f t="shared" si="21"/>
        <v>0.12246653174086346</v>
      </c>
      <c r="G36" s="5">
        <v>1675552392</v>
      </c>
      <c r="H36" s="1">
        <f t="shared" si="30"/>
        <v>8.26018865432116E-2</v>
      </c>
      <c r="I36" s="236">
        <v>1828447510</v>
      </c>
      <c r="J36" s="1">
        <f t="shared" si="7"/>
        <v>9.1250574276283206E-2</v>
      </c>
      <c r="K36" s="5">
        <v>1951960366</v>
      </c>
      <c r="L36" s="1">
        <f t="shared" si="8"/>
        <v>6.7550670896754372E-2</v>
      </c>
      <c r="M36" s="5">
        <v>2094151922.3333335</v>
      </c>
      <c r="N36" s="1">
        <f t="shared" si="9"/>
        <v>7.2845514084241142E-2</v>
      </c>
      <c r="O36" s="236">
        <v>2295505350</v>
      </c>
      <c r="P36" s="1">
        <f t="shared" si="10"/>
        <v>9.6150343974240271E-2</v>
      </c>
      <c r="Q36" s="236">
        <v>2413709965.0000048</v>
      </c>
      <c r="R36" s="1">
        <f t="shared" si="10"/>
        <v>5.1493940103430717E-2</v>
      </c>
      <c r="S36" s="236">
        <v>2529020147.4166665</v>
      </c>
      <c r="T36" s="1">
        <f t="shared" si="10"/>
        <v>4.7773006735985994E-2</v>
      </c>
      <c r="U36" s="262">
        <v>2877216648</v>
      </c>
      <c r="V36" s="1">
        <f t="shared" si="22"/>
        <v>0.13768039805416651</v>
      </c>
      <c r="W36" s="262">
        <v>3893867915</v>
      </c>
      <c r="X36" s="1">
        <f t="shared" si="23"/>
        <v>0.35334539986993707</v>
      </c>
      <c r="Y36" s="262">
        <v>4582041788</v>
      </c>
      <c r="Z36" s="1">
        <f t="shared" si="23"/>
        <v>0.1767327212998184</v>
      </c>
      <c r="AA36" s="262">
        <v>4723618633</v>
      </c>
      <c r="AB36" s="1">
        <f t="shared" si="13"/>
        <v>3.0898200311218985E-2</v>
      </c>
      <c r="AC36" s="262">
        <v>3484372218</v>
      </c>
      <c r="AD36" s="1">
        <f t="shared" si="24"/>
        <v>-0.26235107261674656</v>
      </c>
      <c r="AE36" s="262">
        <v>2367301838</v>
      </c>
      <c r="AF36" s="1">
        <f t="shared" si="25"/>
        <v>-0.32059444574529095</v>
      </c>
      <c r="AG36" s="262">
        <v>2314857044</v>
      </c>
      <c r="AH36" s="1">
        <f t="shared" si="26"/>
        <v>-2.2153826418817659E-2</v>
      </c>
      <c r="AI36" s="262">
        <v>2047174531</v>
      </c>
      <c r="AJ36" s="1">
        <f t="shared" si="27"/>
        <v>-0.11563673605409908</v>
      </c>
      <c r="AK36" s="262">
        <v>2052106266</v>
      </c>
      <c r="AL36" s="1">
        <f t="shared" si="28"/>
        <v>2.40904472252835E-3</v>
      </c>
      <c r="AM36" s="262">
        <v>2416902564</v>
      </c>
      <c r="AN36" s="1">
        <f t="shared" si="29"/>
        <v>0.17776676775665573</v>
      </c>
      <c r="AO36" s="262">
        <v>2749193264</v>
      </c>
      <c r="AP36" s="1">
        <f t="shared" si="20"/>
        <v>0.13748617960421841</v>
      </c>
    </row>
    <row r="37" spans="1:42" x14ac:dyDescent="0.2">
      <c r="A37" s="3" t="s">
        <v>125</v>
      </c>
      <c r="B37" s="320">
        <f t="shared" si="4"/>
        <v>6.3802094509600754E-2</v>
      </c>
      <c r="C37" s="320">
        <f>[1]Population!O33</f>
        <v>0.12062056058301636</v>
      </c>
      <c r="D37" s="12">
        <v>133983917</v>
      </c>
      <c r="E37" s="5">
        <v>161554347</v>
      </c>
      <c r="F37" s="1">
        <f t="shared" si="21"/>
        <v>0.2057741751198392</v>
      </c>
      <c r="G37" s="5">
        <v>188751247</v>
      </c>
      <c r="H37" s="1">
        <f>SUM((G37-E37)/E37)</f>
        <v>0.16834520707759104</v>
      </c>
      <c r="I37" s="236">
        <v>227179474</v>
      </c>
      <c r="J37" s="1">
        <f t="shared" si="7"/>
        <v>0.20359191057423848</v>
      </c>
      <c r="K37" s="5">
        <v>254950909</v>
      </c>
      <c r="L37" s="1">
        <f t="shared" si="8"/>
        <v>0.12224447266745586</v>
      </c>
      <c r="M37" s="5">
        <v>277005894</v>
      </c>
      <c r="N37" s="1">
        <f t="shared" si="9"/>
        <v>8.6506790999517483E-2</v>
      </c>
      <c r="O37" s="236">
        <v>302911152.16666663</v>
      </c>
      <c r="P37" s="1">
        <f t="shared" ref="P37:T45" si="31">SUM((O37-M37)/M37)</f>
        <v>9.35187977143426E-2</v>
      </c>
      <c r="Q37" s="236">
        <v>325832289.66667652</v>
      </c>
      <c r="R37" s="1">
        <f t="shared" si="31"/>
        <v>7.5669506837431705E-2</v>
      </c>
      <c r="S37" s="236">
        <v>387303324.2833333</v>
      </c>
      <c r="T37" s="1">
        <f t="shared" si="31"/>
        <v>0.18865851103812054</v>
      </c>
      <c r="U37" s="262">
        <v>504780691</v>
      </c>
      <c r="V37" s="1">
        <f t="shared" si="22"/>
        <v>0.30332134880083206</v>
      </c>
      <c r="W37" s="262">
        <v>855183335</v>
      </c>
      <c r="X37" s="1">
        <f t="shared" si="23"/>
        <v>0.69416808179772471</v>
      </c>
      <c r="Y37" s="262">
        <v>1121734985</v>
      </c>
      <c r="Z37" s="1">
        <f t="shared" si="23"/>
        <v>0.31168948118007933</v>
      </c>
      <c r="AA37" s="262">
        <v>1156541220</v>
      </c>
      <c r="AB37" s="1">
        <f t="shared" si="13"/>
        <v>3.10289288160162E-2</v>
      </c>
      <c r="AC37" s="262">
        <v>771515512</v>
      </c>
      <c r="AD37" s="1">
        <f t="shared" si="24"/>
        <v>-0.3329113578848491</v>
      </c>
      <c r="AE37" s="262">
        <v>560841463</v>
      </c>
      <c r="AF37" s="1">
        <f t="shared" si="25"/>
        <v>-0.27306521479246681</v>
      </c>
      <c r="AG37" s="262">
        <v>534855049</v>
      </c>
      <c r="AH37" s="1">
        <f t="shared" si="26"/>
        <v>-4.6334687633464079E-2</v>
      </c>
      <c r="AI37" s="262">
        <v>502131726</v>
      </c>
      <c r="AJ37" s="1">
        <f t="shared" si="27"/>
        <v>-6.118166606294858E-2</v>
      </c>
      <c r="AK37" s="262">
        <v>504705576</v>
      </c>
      <c r="AL37" s="1">
        <f t="shared" si="28"/>
        <v>5.1258462007636616E-3</v>
      </c>
      <c r="AM37" s="262">
        <v>624824930</v>
      </c>
      <c r="AN37" s="1">
        <f t="shared" si="29"/>
        <v>0.23799886451026647</v>
      </c>
      <c r="AO37" s="262">
        <v>739419144</v>
      </c>
      <c r="AP37" s="1">
        <f t="shared" si="20"/>
        <v>0.18340211553338628</v>
      </c>
    </row>
    <row r="38" spans="1:42" x14ac:dyDescent="0.2">
      <c r="A38" s="3" t="s">
        <v>126</v>
      </c>
      <c r="B38" s="320">
        <f t="shared" si="4"/>
        <v>1.2623029474932324E-3</v>
      </c>
      <c r="C38" s="320">
        <f>[1]Population!O34</f>
        <v>8.6250542280209667E-3</v>
      </c>
      <c r="D38" s="12">
        <v>1003231572</v>
      </c>
      <c r="E38" s="5">
        <v>1012677048</v>
      </c>
      <c r="F38" s="1">
        <f t="shared" si="21"/>
        <v>9.4150505861472222E-3</v>
      </c>
      <c r="G38" s="5">
        <v>1099952474</v>
      </c>
      <c r="H38" s="1">
        <f t="shared" si="30"/>
        <v>8.6182881474766077E-2</v>
      </c>
      <c r="I38" s="236">
        <v>1067659158</v>
      </c>
      <c r="J38" s="1">
        <f t="shared" si="7"/>
        <v>-2.9358828461528604E-2</v>
      </c>
      <c r="K38" s="5">
        <v>1096134277</v>
      </c>
      <c r="L38" s="1">
        <f t="shared" si="8"/>
        <v>2.6670608111807159E-2</v>
      </c>
      <c r="M38" s="5">
        <v>1150796490.3333333</v>
      </c>
      <c r="N38" s="1">
        <f t="shared" si="9"/>
        <v>4.9868172613794885E-2</v>
      </c>
      <c r="O38" s="236">
        <v>1187805547.6666667</v>
      </c>
      <c r="P38" s="1">
        <f t="shared" si="31"/>
        <v>3.2159515295891852E-2</v>
      </c>
      <c r="Q38" s="236">
        <v>1205432641.6666703</v>
      </c>
      <c r="R38" s="1">
        <f t="shared" si="31"/>
        <v>1.4840050237709665E-2</v>
      </c>
      <c r="S38" s="236">
        <v>1270044770.8166668</v>
      </c>
      <c r="T38" s="1">
        <f t="shared" si="31"/>
        <v>5.3600779435225586E-2</v>
      </c>
      <c r="U38" s="262">
        <v>1556580261</v>
      </c>
      <c r="V38" s="1">
        <f t="shared" si="22"/>
        <v>0.22561054284652068</v>
      </c>
      <c r="W38" s="262">
        <v>1934004320</v>
      </c>
      <c r="X38" s="1">
        <f t="shared" si="23"/>
        <v>0.24247002769875162</v>
      </c>
      <c r="Y38" s="262">
        <v>2772482232</v>
      </c>
      <c r="Z38" s="1">
        <f t="shared" si="23"/>
        <v>0.43354500469781782</v>
      </c>
      <c r="AA38" s="262">
        <v>3277294049</v>
      </c>
      <c r="AB38" s="1">
        <f t="shared" si="13"/>
        <v>0.1820793695892656</v>
      </c>
      <c r="AC38" s="262">
        <v>3546008065</v>
      </c>
      <c r="AD38" s="1">
        <f t="shared" si="24"/>
        <v>8.1992647587418241E-2</v>
      </c>
      <c r="AE38" s="262">
        <v>1863021823</v>
      </c>
      <c r="AF38" s="1">
        <f t="shared" si="25"/>
        <v>-0.47461433001563125</v>
      </c>
      <c r="AG38" s="262">
        <v>1651189780</v>
      </c>
      <c r="AH38" s="1">
        <f t="shared" si="26"/>
        <v>-0.11370346841074014</v>
      </c>
      <c r="AI38" s="262">
        <v>1347042930</v>
      </c>
      <c r="AJ38" s="1">
        <f t="shared" si="27"/>
        <v>-0.18419860253737763</v>
      </c>
      <c r="AK38" s="262">
        <v>973901840</v>
      </c>
      <c r="AL38" s="1">
        <f t="shared" si="28"/>
        <v>-0.2770075709465325</v>
      </c>
      <c r="AM38" s="262">
        <v>1292907292</v>
      </c>
      <c r="AN38" s="1">
        <f t="shared" si="29"/>
        <v>0.3275540089337956</v>
      </c>
      <c r="AO38" s="262">
        <v>1620875397</v>
      </c>
      <c r="AP38" s="1">
        <f t="shared" si="20"/>
        <v>0.25366714769832083</v>
      </c>
    </row>
    <row r="39" spans="1:42" x14ac:dyDescent="0.2">
      <c r="A39" s="3" t="s">
        <v>127</v>
      </c>
      <c r="B39" s="320">
        <f t="shared" si="4"/>
        <v>3.3048498489944629E-2</v>
      </c>
      <c r="C39" s="320"/>
      <c r="D39" s="12">
        <v>257073923</v>
      </c>
      <c r="E39" s="5">
        <v>275699245</v>
      </c>
      <c r="F39" s="1">
        <f t="shared" si="21"/>
        <v>7.2451230302343808E-2</v>
      </c>
      <c r="G39" s="5">
        <v>303289819</v>
      </c>
      <c r="H39" s="1">
        <f t="shared" si="30"/>
        <v>0.10007489864544243</v>
      </c>
      <c r="I39" s="236">
        <v>345799603</v>
      </c>
      <c r="J39" s="1">
        <f t="shared" si="7"/>
        <v>0.14016225186906126</v>
      </c>
      <c r="K39" s="5">
        <v>358957115</v>
      </c>
      <c r="L39" s="1">
        <f t="shared" si="8"/>
        <v>3.8049528934826451E-2</v>
      </c>
      <c r="M39" s="5">
        <v>370461877.66666669</v>
      </c>
      <c r="N39" s="1">
        <f t="shared" si="9"/>
        <v>3.205052131831037E-2</v>
      </c>
      <c r="O39" s="236">
        <v>397316677.46666664</v>
      </c>
      <c r="P39" s="1">
        <f t="shared" si="31"/>
        <v>7.2490049365250206E-2</v>
      </c>
      <c r="Q39" s="236">
        <v>412835366.33336192</v>
      </c>
      <c r="R39" s="1">
        <f t="shared" si="31"/>
        <v>3.9058740160730465E-2</v>
      </c>
      <c r="S39" s="236">
        <v>442982981.06666666</v>
      </c>
      <c r="T39" s="1">
        <f t="shared" si="31"/>
        <v>7.3025756007930612E-2</v>
      </c>
      <c r="U39" s="262">
        <v>531197010</v>
      </c>
      <c r="V39" s="1">
        <f t="shared" si="22"/>
        <v>0.1991363837972312</v>
      </c>
      <c r="W39" s="262">
        <v>657071423</v>
      </c>
      <c r="X39" s="1">
        <f t="shared" si="23"/>
        <v>0.23696370768352029</v>
      </c>
      <c r="Y39" s="262">
        <v>795900244</v>
      </c>
      <c r="Z39" s="1">
        <f t="shared" si="23"/>
        <v>0.21128421681488954</v>
      </c>
      <c r="AA39" s="262">
        <v>812497424</v>
      </c>
      <c r="AB39" s="1">
        <f t="shared" si="13"/>
        <v>2.0853342017570733E-2</v>
      </c>
      <c r="AC39" s="262">
        <v>743981551</v>
      </c>
      <c r="AD39" s="1">
        <f t="shared" si="24"/>
        <v>-8.4327495664773947E-2</v>
      </c>
      <c r="AE39" s="262">
        <v>612637547</v>
      </c>
      <c r="AF39" s="1">
        <f t="shared" si="25"/>
        <v>-0.17654201750494752</v>
      </c>
      <c r="AG39" s="262">
        <v>565948143</v>
      </c>
      <c r="AH39" s="1">
        <f t="shared" si="26"/>
        <v>-7.6210484043349042E-2</v>
      </c>
      <c r="AI39" s="262">
        <v>538142991</v>
      </c>
      <c r="AJ39" s="1">
        <f t="shared" si="27"/>
        <v>-4.9130211564277541E-2</v>
      </c>
      <c r="AK39" s="262">
        <v>528726970</v>
      </c>
      <c r="AL39" s="1">
        <f t="shared" si="28"/>
        <v>-1.7497247306896543E-2</v>
      </c>
      <c r="AM39" s="262">
        <v>647862805</v>
      </c>
      <c r="AN39" s="1">
        <f t="shared" si="29"/>
        <v>0.2253258141910181</v>
      </c>
      <c r="AO39" s="262">
        <v>701476446</v>
      </c>
      <c r="AP39" s="1">
        <f t="shared" si="20"/>
        <v>8.2754621173228182E-2</v>
      </c>
    </row>
    <row r="40" spans="1:42" x14ac:dyDescent="0.2">
      <c r="A40" s="3" t="s">
        <v>128</v>
      </c>
      <c r="B40" s="320">
        <f t="shared" si="4"/>
        <v>1.6478982388768704E-2</v>
      </c>
      <c r="C40" s="320"/>
      <c r="D40" s="12">
        <v>9922809791</v>
      </c>
      <c r="E40" s="5">
        <v>11102538103</v>
      </c>
      <c r="F40" s="1">
        <f t="shared" si="21"/>
        <v>0.11889054983901988</v>
      </c>
      <c r="G40" s="5">
        <v>12399711799</v>
      </c>
      <c r="H40" s="1">
        <f t="shared" si="30"/>
        <v>0.1168357797078393</v>
      </c>
      <c r="I40" s="236">
        <v>15006127065</v>
      </c>
      <c r="J40" s="1">
        <f t="shared" si="7"/>
        <v>0.21019966498013282</v>
      </c>
      <c r="K40" s="5">
        <v>16573636118</v>
      </c>
      <c r="L40" s="1">
        <f t="shared" si="8"/>
        <v>0.10445793549596336</v>
      </c>
      <c r="M40" s="5">
        <v>17674383110.333336</v>
      </c>
      <c r="N40" s="1">
        <f t="shared" si="9"/>
        <v>6.6415539987501965E-2</v>
      </c>
      <c r="O40" s="236">
        <v>19819315781.633335</v>
      </c>
      <c r="P40" s="1">
        <f t="shared" si="31"/>
        <v>0.12135827643375929</v>
      </c>
      <c r="Q40" s="236">
        <v>21553065771.666756</v>
      </c>
      <c r="R40" s="1">
        <f t="shared" si="31"/>
        <v>8.7477792328234452E-2</v>
      </c>
      <c r="S40" s="236">
        <v>24216765093.466667</v>
      </c>
      <c r="T40" s="1">
        <f t="shared" si="31"/>
        <v>0.12358795495820178</v>
      </c>
      <c r="U40" s="262">
        <v>30595956472</v>
      </c>
      <c r="V40" s="1">
        <f t="shared" si="22"/>
        <v>0.26342045908742562</v>
      </c>
      <c r="W40" s="262">
        <v>43627649981</v>
      </c>
      <c r="X40" s="1">
        <f t="shared" si="23"/>
        <v>0.42592861971568047</v>
      </c>
      <c r="Y40" s="262">
        <v>53137762322</v>
      </c>
      <c r="Z40" s="1">
        <f t="shared" si="23"/>
        <v>0.21798360317692309</v>
      </c>
      <c r="AA40" s="262">
        <v>58592771579</v>
      </c>
      <c r="AB40" s="1">
        <f t="shared" si="13"/>
        <v>0.1026578654920425</v>
      </c>
      <c r="AC40" s="262">
        <v>49429997362</v>
      </c>
      <c r="AD40" s="1">
        <f t="shared" si="24"/>
        <v>-0.15638062460735333</v>
      </c>
      <c r="AE40" s="262">
        <v>33199684784</v>
      </c>
      <c r="AF40" s="1">
        <f t="shared" si="25"/>
        <v>-0.32834945264385706</v>
      </c>
      <c r="AG40" s="262">
        <v>31149390611</v>
      </c>
      <c r="AH40" s="1">
        <f t="shared" si="26"/>
        <v>-6.1756434928204589E-2</v>
      </c>
      <c r="AI40" s="262">
        <v>29168499039</v>
      </c>
      <c r="AJ40" s="1">
        <f t="shared" si="27"/>
        <v>-6.3593268861589669E-2</v>
      </c>
      <c r="AK40" s="262">
        <v>28052460374</v>
      </c>
      <c r="AL40" s="1">
        <f t="shared" si="28"/>
        <v>-3.8261779034560219E-2</v>
      </c>
      <c r="AM40" s="262">
        <v>32698907989</v>
      </c>
      <c r="AN40" s="1">
        <f t="shared" si="29"/>
        <v>0.16563422790916729</v>
      </c>
      <c r="AO40" s="262">
        <v>35326990078</v>
      </c>
      <c r="AP40" s="1">
        <f t="shared" si="20"/>
        <v>8.0372166859030703E-2</v>
      </c>
    </row>
    <row r="41" spans="1:42" x14ac:dyDescent="0.2">
      <c r="A41" s="3" t="s">
        <v>129</v>
      </c>
      <c r="B41" s="320">
        <f t="shared" si="4"/>
        <v>2.1188469169182968E-2</v>
      </c>
      <c r="C41" s="320"/>
      <c r="D41" s="12">
        <v>1850502920</v>
      </c>
      <c r="E41" s="5">
        <v>2353021103</v>
      </c>
      <c r="F41" s="1">
        <f t="shared" si="21"/>
        <v>0.27155762769615083</v>
      </c>
      <c r="G41" s="5">
        <v>3417601458</v>
      </c>
      <c r="H41" s="1">
        <f t="shared" si="30"/>
        <v>0.45243128233856728</v>
      </c>
      <c r="I41" s="236">
        <v>4050018304</v>
      </c>
      <c r="J41" s="1">
        <f t="shared" si="7"/>
        <v>0.18504698507768486</v>
      </c>
      <c r="K41" s="5">
        <v>3806278565</v>
      </c>
      <c r="L41" s="1">
        <f t="shared" si="8"/>
        <v>-6.0182379610302129E-2</v>
      </c>
      <c r="M41" s="5">
        <v>4381679932</v>
      </c>
      <c r="N41" s="1">
        <f t="shared" si="9"/>
        <v>0.15117163843209147</v>
      </c>
      <c r="O41" s="236">
        <v>5416066579.9499998</v>
      </c>
      <c r="P41" s="1">
        <f t="shared" si="31"/>
        <v>0.236070791112727</v>
      </c>
      <c r="Q41" s="236">
        <v>6300863442.6667519</v>
      </c>
      <c r="R41" s="1">
        <f t="shared" si="31"/>
        <v>0.16336521157111039</v>
      </c>
      <c r="S41" s="236">
        <v>7082465979.1000214</v>
      </c>
      <c r="T41" s="1">
        <f t="shared" si="31"/>
        <v>0.12404689350043543</v>
      </c>
      <c r="U41" s="262">
        <v>9406767765</v>
      </c>
      <c r="V41" s="1">
        <f t="shared" si="22"/>
        <v>0.3281769079807611</v>
      </c>
      <c r="W41" s="262">
        <v>13980183322</v>
      </c>
      <c r="X41" s="1">
        <f t="shared" si="23"/>
        <v>0.48618352990667246</v>
      </c>
      <c r="Y41" s="262">
        <v>16735079309</v>
      </c>
      <c r="Z41" s="1">
        <f t="shared" si="23"/>
        <v>0.19705721474086405</v>
      </c>
      <c r="AA41" s="262">
        <v>17127254748</v>
      </c>
      <c r="AB41" s="1">
        <f t="shared" si="13"/>
        <v>2.3434334057149703E-2</v>
      </c>
      <c r="AC41" s="262">
        <v>13746185305</v>
      </c>
      <c r="AD41" s="1">
        <f t="shared" si="24"/>
        <v>-0.19740872035518811</v>
      </c>
      <c r="AE41" s="262">
        <v>10201991646</v>
      </c>
      <c r="AF41" s="1">
        <f t="shared" si="25"/>
        <v>-0.25783106951939927</v>
      </c>
      <c r="AG41" s="262">
        <v>9380412881</v>
      </c>
      <c r="AH41" s="1">
        <f t="shared" si="26"/>
        <v>-8.0531213267766674E-2</v>
      </c>
      <c r="AI41" s="262">
        <v>8620137719</v>
      </c>
      <c r="AJ41" s="1">
        <f t="shared" si="27"/>
        <v>-8.104922156890719E-2</v>
      </c>
      <c r="AK41" s="262">
        <v>8514933298</v>
      </c>
      <c r="AL41" s="1">
        <f t="shared" si="28"/>
        <v>-1.2204494223812064E-2</v>
      </c>
      <c r="AM41" s="262">
        <v>9986616691</v>
      </c>
      <c r="AN41" s="1">
        <f t="shared" si="29"/>
        <v>0.17283557504151809</v>
      </c>
      <c r="AO41" s="262">
        <v>11054103125</v>
      </c>
      <c r="AP41" s="1">
        <f t="shared" si="20"/>
        <v>0.1068916998648827</v>
      </c>
    </row>
    <row r="42" spans="1:42" x14ac:dyDescent="0.2">
      <c r="A42" s="3" t="s">
        <v>130</v>
      </c>
      <c r="B42" s="320">
        <f t="shared" si="4"/>
        <v>1.7873106495928787E-2</v>
      </c>
      <c r="C42" s="320"/>
      <c r="D42" s="12">
        <v>18169764760</v>
      </c>
      <c r="E42" s="5">
        <v>20310539655</v>
      </c>
      <c r="F42" s="1">
        <f t="shared" si="21"/>
        <v>0.1178207270857369</v>
      </c>
      <c r="G42" s="5">
        <v>21533217518</v>
      </c>
      <c r="H42" s="1">
        <f t="shared" si="30"/>
        <v>6.0199181497326885E-2</v>
      </c>
      <c r="I42" s="236">
        <v>24764592875</v>
      </c>
      <c r="J42" s="1">
        <f t="shared" si="7"/>
        <v>0.15006467817913582</v>
      </c>
      <c r="K42" s="5">
        <v>27871898379</v>
      </c>
      <c r="L42" s="1">
        <f t="shared" si="8"/>
        <v>0.12547371643395128</v>
      </c>
      <c r="M42" s="5">
        <v>29666121524</v>
      </c>
      <c r="N42" s="1">
        <f t="shared" si="9"/>
        <v>6.4373912411787929E-2</v>
      </c>
      <c r="O42" s="236">
        <v>32871615310.683331</v>
      </c>
      <c r="P42" s="1">
        <f t="shared" si="31"/>
        <v>0.10805233788616669</v>
      </c>
      <c r="Q42" s="236">
        <v>35706046402.333717</v>
      </c>
      <c r="R42" s="1">
        <f t="shared" si="31"/>
        <v>8.6227313895620813E-2</v>
      </c>
      <c r="S42" s="236">
        <v>39830342347</v>
      </c>
      <c r="T42" s="1">
        <f t="shared" si="31"/>
        <v>0.11550693398518415</v>
      </c>
      <c r="U42" s="262">
        <v>50700537247</v>
      </c>
      <c r="V42" s="1">
        <f t="shared" si="22"/>
        <v>0.27291241449293585</v>
      </c>
      <c r="W42" s="262">
        <v>68914937764</v>
      </c>
      <c r="X42" s="1">
        <f t="shared" si="23"/>
        <v>0.35925458596748427</v>
      </c>
      <c r="Y42" s="262">
        <v>82534131411</v>
      </c>
      <c r="Z42" s="1">
        <f t="shared" si="23"/>
        <v>0.19762324524820854</v>
      </c>
      <c r="AA42" s="262">
        <v>88689747005</v>
      </c>
      <c r="AB42" s="1">
        <f t="shared" si="13"/>
        <v>7.4582666452822091E-2</v>
      </c>
      <c r="AC42" s="262">
        <v>72525538157</v>
      </c>
      <c r="AD42" s="1">
        <f t="shared" si="24"/>
        <v>-0.18225566532610271</v>
      </c>
      <c r="AE42" s="262">
        <v>50156617356</v>
      </c>
      <c r="AF42" s="1">
        <f t="shared" si="25"/>
        <v>-0.30842819466677757</v>
      </c>
      <c r="AG42" s="262">
        <v>47225523425</v>
      </c>
      <c r="AH42" s="1">
        <f t="shared" si="26"/>
        <v>-5.8438827925650909E-2</v>
      </c>
      <c r="AI42" s="262">
        <v>43874703263</v>
      </c>
      <c r="AJ42" s="1">
        <f t="shared" si="27"/>
        <v>-7.0953584396402064E-2</v>
      </c>
      <c r="AK42" s="262">
        <v>42105972959</v>
      </c>
      <c r="AL42" s="1">
        <f t="shared" si="28"/>
        <v>-4.0313214049508772E-2</v>
      </c>
      <c r="AM42" s="262">
        <v>49380259145</v>
      </c>
      <c r="AN42" s="1">
        <f t="shared" si="29"/>
        <v>0.17276138454473469</v>
      </c>
      <c r="AO42" s="262">
        <v>53642258167</v>
      </c>
      <c r="AP42" s="1">
        <f t="shared" si="20"/>
        <v>8.6309774306470993E-2</v>
      </c>
    </row>
    <row r="43" spans="1:42" x14ac:dyDescent="0.2">
      <c r="A43" s="3" t="s">
        <v>131</v>
      </c>
      <c r="B43" s="320">
        <f t="shared" si="4"/>
        <v>-6.7191578634539922E-2</v>
      </c>
      <c r="C43" s="320"/>
      <c r="D43" s="12">
        <v>146737664</v>
      </c>
      <c r="E43" s="5">
        <v>147903515</v>
      </c>
      <c r="F43" s="1">
        <f t="shared" si="21"/>
        <v>7.9451380662567996E-3</v>
      </c>
      <c r="G43" s="5">
        <v>175912823</v>
      </c>
      <c r="H43" s="1">
        <f t="shared" si="30"/>
        <v>0.18937553985785935</v>
      </c>
      <c r="I43" s="236">
        <v>172644366</v>
      </c>
      <c r="J43" s="1">
        <f t="shared" si="7"/>
        <v>-1.8579981517322361E-2</v>
      </c>
      <c r="K43" s="5">
        <v>165885340</v>
      </c>
      <c r="L43" s="1">
        <f t="shared" si="8"/>
        <v>-3.9149994619575364E-2</v>
      </c>
      <c r="M43" s="5">
        <v>179980089</v>
      </c>
      <c r="N43" s="1">
        <f t="shared" si="9"/>
        <v>8.4966815030188922E-2</v>
      </c>
      <c r="O43" s="236">
        <v>197412252.28333333</v>
      </c>
      <c r="P43" s="1">
        <f t="shared" si="31"/>
        <v>9.6856065469182712E-2</v>
      </c>
      <c r="Q43" s="236">
        <v>211900476.66673541</v>
      </c>
      <c r="R43" s="1">
        <f t="shared" si="31"/>
        <v>7.3390705064283676E-2</v>
      </c>
      <c r="S43" s="236">
        <v>208393222.23333335</v>
      </c>
      <c r="T43" s="1">
        <f t="shared" si="31"/>
        <v>-1.6551423048085278E-2</v>
      </c>
      <c r="U43" s="262">
        <v>269894104</v>
      </c>
      <c r="V43" s="1">
        <f t="shared" si="22"/>
        <v>0.29511939547537419</v>
      </c>
      <c r="W43" s="262">
        <v>254294301</v>
      </c>
      <c r="X43" s="1">
        <f t="shared" si="23"/>
        <v>-5.7799717625546941E-2</v>
      </c>
      <c r="Y43" s="262">
        <v>366674115</v>
      </c>
      <c r="Z43" s="1">
        <f t="shared" si="23"/>
        <v>0.44192816574367511</v>
      </c>
      <c r="AA43" s="262">
        <v>376181966</v>
      </c>
      <c r="AB43" s="1">
        <f t="shared" si="13"/>
        <v>2.5929975995169444E-2</v>
      </c>
      <c r="AC43" s="262">
        <v>327408386</v>
      </c>
      <c r="AD43" s="1">
        <f t="shared" si="24"/>
        <v>-0.12965422164867946</v>
      </c>
      <c r="AE43" s="262">
        <v>236772882</v>
      </c>
      <c r="AF43" s="1">
        <f t="shared" si="25"/>
        <v>-0.2768270694202683</v>
      </c>
      <c r="AG43" s="262">
        <v>194415540</v>
      </c>
      <c r="AH43" s="1">
        <f t="shared" si="26"/>
        <v>-0.17889439720550429</v>
      </c>
      <c r="AI43" s="262">
        <v>166173166</v>
      </c>
      <c r="AJ43" s="1">
        <f t="shared" si="27"/>
        <v>-0.14526808916612324</v>
      </c>
      <c r="AK43" s="262">
        <v>155443383</v>
      </c>
      <c r="AL43" s="1">
        <f t="shared" si="28"/>
        <v>-6.4569889701686256E-2</v>
      </c>
      <c r="AM43" s="262">
        <v>154566524</v>
      </c>
      <c r="AN43" s="1">
        <f t="shared" si="29"/>
        <v>-5.6410185051106359E-3</v>
      </c>
      <c r="AO43" s="262">
        <v>163595605</v>
      </c>
      <c r="AP43" s="1">
        <f t="shared" si="20"/>
        <v>5.8415501405724823E-2</v>
      </c>
    </row>
    <row r="44" spans="1:42" x14ac:dyDescent="0.2">
      <c r="A44" s="3" t="s">
        <v>132</v>
      </c>
      <c r="B44" s="320">
        <f t="shared" si="4"/>
        <v>-5.7521599657967062E-2</v>
      </c>
      <c r="C44" s="320"/>
      <c r="D44" s="12">
        <v>20743930</v>
      </c>
      <c r="E44" s="5">
        <v>25075320</v>
      </c>
      <c r="F44" s="1">
        <f t="shared" si="21"/>
        <v>0.20880276784582286</v>
      </c>
      <c r="G44" s="5">
        <v>25275959</v>
      </c>
      <c r="H44" s="1">
        <f t="shared" si="30"/>
        <v>8.0014532217335607E-3</v>
      </c>
      <c r="I44" s="236">
        <v>25873725</v>
      </c>
      <c r="J44" s="1">
        <f t="shared" si="7"/>
        <v>2.3649587341077742E-2</v>
      </c>
      <c r="K44" s="5">
        <v>38222106</v>
      </c>
      <c r="L44" s="1">
        <f t="shared" si="8"/>
        <v>0.47725563288625816</v>
      </c>
      <c r="M44" s="5">
        <v>38602463.333333336</v>
      </c>
      <c r="N44" s="1">
        <f t="shared" si="9"/>
        <v>9.9512395610366379E-3</v>
      </c>
      <c r="O44" s="236">
        <v>42235419.333333336</v>
      </c>
      <c r="P44" s="1">
        <f t="shared" si="31"/>
        <v>9.4112025147963352E-2</v>
      </c>
      <c r="Q44" s="236">
        <v>44363914.333362937</v>
      </c>
      <c r="R44" s="1">
        <f t="shared" si="31"/>
        <v>5.0395971760832867E-2</v>
      </c>
      <c r="S44" s="236">
        <v>44689614</v>
      </c>
      <c r="T44" s="1">
        <f t="shared" si="31"/>
        <v>7.3415448463285743E-3</v>
      </c>
      <c r="U44" s="262">
        <v>53582201</v>
      </c>
      <c r="V44" s="1">
        <f t="shared" si="22"/>
        <v>0.19898554057772797</v>
      </c>
      <c r="W44" s="262">
        <v>86659374</v>
      </c>
      <c r="X44" s="1">
        <f t="shared" si="23"/>
        <v>0.61731642938669129</v>
      </c>
      <c r="Y44" s="262">
        <v>89330875</v>
      </c>
      <c r="Z44" s="1">
        <f t="shared" si="23"/>
        <v>3.0827605562901941E-2</v>
      </c>
      <c r="AA44" s="262">
        <v>87203963</v>
      </c>
      <c r="AB44" s="1">
        <f t="shared" si="13"/>
        <v>-2.3809371619834686E-2</v>
      </c>
      <c r="AC44" s="262">
        <v>82309766</v>
      </c>
      <c r="AD44" s="1">
        <f t="shared" si="24"/>
        <v>-5.6123561723909268E-2</v>
      </c>
      <c r="AE44" s="262">
        <v>52082834</v>
      </c>
      <c r="AF44" s="1">
        <f t="shared" si="25"/>
        <v>-0.3672338468317356</v>
      </c>
      <c r="AG44" s="262">
        <v>50182864</v>
      </c>
      <c r="AH44" s="1">
        <f t="shared" si="26"/>
        <v>-3.6479773738886792E-2</v>
      </c>
      <c r="AI44" s="262">
        <v>41403380</v>
      </c>
      <c r="AJ44" s="1">
        <f t="shared" si="27"/>
        <v>-0.17494983945117201</v>
      </c>
      <c r="AK44" s="262">
        <v>39215689</v>
      </c>
      <c r="AL44" s="1">
        <f t="shared" si="28"/>
        <v>-5.2838463912849624E-2</v>
      </c>
      <c r="AM44" s="262">
        <v>40340665</v>
      </c>
      <c r="AN44" s="1">
        <f t="shared" si="29"/>
        <v>2.8686886006261424E-2</v>
      </c>
      <c r="AO44" s="262">
        <v>38241869</v>
      </c>
      <c r="AP44" s="1">
        <f t="shared" si="20"/>
        <v>-5.2026807193188314E-2</v>
      </c>
    </row>
    <row r="45" spans="1:42" x14ac:dyDescent="0.2">
      <c r="A45" s="3" t="s">
        <v>133</v>
      </c>
      <c r="B45" s="320">
        <f t="shared" si="4"/>
        <v>-6.315866738212636E-2</v>
      </c>
      <c r="C45" s="320"/>
      <c r="D45" s="12">
        <v>13879748</v>
      </c>
      <c r="E45" s="5">
        <v>17486866</v>
      </c>
      <c r="F45" s="1">
        <f t="shared" si="21"/>
        <v>0.25988353679043741</v>
      </c>
      <c r="G45" s="5">
        <v>18301854</v>
      </c>
      <c r="H45" s="1">
        <f t="shared" si="30"/>
        <v>4.6605721116636911E-2</v>
      </c>
      <c r="I45" s="236">
        <v>18861745</v>
      </c>
      <c r="J45" s="1">
        <f t="shared" si="7"/>
        <v>3.0592037287588459E-2</v>
      </c>
      <c r="K45" s="5">
        <v>29380426</v>
      </c>
      <c r="L45" s="1">
        <f t="shared" si="8"/>
        <v>0.55767273918717486</v>
      </c>
      <c r="M45" s="5">
        <v>29814747</v>
      </c>
      <c r="N45" s="1">
        <f t="shared" si="9"/>
        <v>1.478266516625729E-2</v>
      </c>
      <c r="O45" s="236">
        <v>32983796</v>
      </c>
      <c r="P45" s="1">
        <f t="shared" si="31"/>
        <v>0.10629132623530228</v>
      </c>
      <c r="Q45" s="236">
        <v>34504681.000009805</v>
      </c>
      <c r="R45" s="1">
        <f t="shared" si="31"/>
        <v>4.6110065682246064E-2</v>
      </c>
      <c r="S45" s="236">
        <v>34732101.5</v>
      </c>
      <c r="T45" s="1">
        <f t="shared" si="31"/>
        <v>6.5910042753367405E-3</v>
      </c>
      <c r="U45" s="262">
        <v>40956371</v>
      </c>
      <c r="V45" s="1">
        <f t="shared" si="22"/>
        <v>0.17920797277412079</v>
      </c>
      <c r="W45" s="262">
        <v>61271021</v>
      </c>
      <c r="X45" s="1">
        <f t="shared" si="23"/>
        <v>0.49600708031480623</v>
      </c>
      <c r="Y45" s="262">
        <v>63073090</v>
      </c>
      <c r="Z45" s="1">
        <f t="shared" si="23"/>
        <v>2.9411440687433624E-2</v>
      </c>
      <c r="AA45" s="262">
        <v>60789081</v>
      </c>
      <c r="AB45" s="1">
        <f t="shared" si="13"/>
        <v>-3.6212099327938431E-2</v>
      </c>
      <c r="AC45" s="262">
        <v>53770456</v>
      </c>
      <c r="AD45" s="1">
        <f t="shared" si="24"/>
        <v>-0.11545864626576605</v>
      </c>
      <c r="AE45" s="262">
        <v>37306127</v>
      </c>
      <c r="AF45" s="1">
        <f t="shared" si="25"/>
        <v>-0.30619656638210396</v>
      </c>
      <c r="AG45" s="262">
        <v>35418595</v>
      </c>
      <c r="AH45" s="1">
        <f t="shared" si="26"/>
        <v>-5.0595764068459857E-2</v>
      </c>
      <c r="AI45" s="262">
        <v>29932441</v>
      </c>
      <c r="AJ45" s="1">
        <f t="shared" si="27"/>
        <v>-0.15489473820178357</v>
      </c>
      <c r="AK45" s="262">
        <v>28464621</v>
      </c>
      <c r="AL45" s="1">
        <f t="shared" si="28"/>
        <v>-4.9037764744946796E-2</v>
      </c>
      <c r="AM45" s="262">
        <v>29450392</v>
      </c>
      <c r="AN45" s="1">
        <f t="shared" si="29"/>
        <v>3.4631446524441695E-2</v>
      </c>
      <c r="AO45" s="262">
        <v>26626202</v>
      </c>
      <c r="AP45" s="1">
        <f t="shared" si="20"/>
        <v>-9.589651641988331E-2</v>
      </c>
    </row>
    <row r="46" spans="1:42" x14ac:dyDescent="0.2">
      <c r="B46" s="320"/>
      <c r="C46" s="320"/>
      <c r="D46" s="14"/>
      <c r="F46" s="15"/>
      <c r="J46" s="1"/>
      <c r="L46" s="1"/>
      <c r="N46" s="1"/>
      <c r="P46" s="1"/>
      <c r="R46" s="1"/>
      <c r="T46" s="1"/>
      <c r="V46" s="1"/>
      <c r="X46" s="1"/>
      <c r="Z46" s="1"/>
      <c r="AB46" s="1"/>
      <c r="AD46" s="1"/>
      <c r="AF46" s="1"/>
      <c r="AH46" s="1"/>
      <c r="AJ46" s="1"/>
      <c r="AL46" s="1"/>
      <c r="AN46" s="1"/>
      <c r="AO46" s="262"/>
      <c r="AP46" s="1"/>
    </row>
    <row r="47" spans="1:42" x14ac:dyDescent="0.2">
      <c r="A47" s="3" t="s">
        <v>477</v>
      </c>
      <c r="B47" s="320"/>
      <c r="C47" s="320"/>
      <c r="D47" s="14"/>
      <c r="F47" s="15"/>
      <c r="J47" s="1"/>
      <c r="L47" s="1"/>
      <c r="N47" s="1"/>
      <c r="P47" s="1"/>
      <c r="R47" s="1"/>
      <c r="T47" s="1"/>
      <c r="V47" s="1"/>
      <c r="X47" s="1"/>
      <c r="Z47" s="1"/>
      <c r="AB47" s="1"/>
      <c r="AD47" s="1"/>
      <c r="AF47" s="1"/>
      <c r="AH47" s="1"/>
      <c r="AJ47" s="1"/>
      <c r="AL47" s="1"/>
      <c r="AN47" s="1"/>
      <c r="AO47" s="262"/>
      <c r="AP47" s="1"/>
    </row>
    <row r="48" spans="1:42" x14ac:dyDescent="0.2">
      <c r="B48" s="320"/>
      <c r="C48" s="320"/>
      <c r="D48" s="13"/>
      <c r="F48" s="13"/>
      <c r="J48" s="1"/>
      <c r="L48" s="1"/>
      <c r="N48" s="1"/>
      <c r="P48" s="1"/>
      <c r="R48" s="1"/>
      <c r="T48" s="1"/>
      <c r="V48" s="1"/>
      <c r="X48" s="1"/>
      <c r="Z48" s="1"/>
      <c r="AB48" s="1"/>
      <c r="AD48" s="1"/>
      <c r="AF48" s="1"/>
      <c r="AH48" s="1"/>
      <c r="AJ48" s="1"/>
      <c r="AL48" s="1"/>
      <c r="AN48" s="1"/>
      <c r="AO48" s="262"/>
      <c r="AP48" s="1"/>
    </row>
    <row r="49" spans="1:42" x14ac:dyDescent="0.2">
      <c r="B49" s="320"/>
      <c r="C49" s="320"/>
      <c r="D49" s="5"/>
      <c r="J49" s="1"/>
      <c r="L49" s="1"/>
      <c r="N49" s="1"/>
      <c r="P49" s="1"/>
      <c r="R49" s="1"/>
      <c r="T49" s="1"/>
      <c r="V49" s="1"/>
      <c r="X49" s="1"/>
      <c r="Z49" s="1"/>
      <c r="AB49" s="1"/>
      <c r="AD49" s="1"/>
      <c r="AF49" s="1"/>
      <c r="AH49" s="1"/>
      <c r="AJ49" s="1"/>
      <c r="AL49" s="1"/>
      <c r="AN49" s="1"/>
      <c r="AO49" s="262"/>
      <c r="AP49" s="1"/>
    </row>
    <row r="50" spans="1:42" x14ac:dyDescent="0.2">
      <c r="A50" s="3" t="s">
        <v>134</v>
      </c>
      <c r="B50" s="320">
        <f t="shared" ref="B50:B76" si="32">SUM((AL50+AN50+AP50+AJ50+AH50)/5)</f>
        <v>-1.7246599011527787E-2</v>
      </c>
      <c r="C50" s="320">
        <f>[1]Population!O44</f>
        <v>1.4840805016046444E-2</v>
      </c>
      <c r="D50" s="5">
        <v>1269793559</v>
      </c>
      <c r="E50" s="5">
        <v>1323578935</v>
      </c>
      <c r="F50" s="1">
        <f t="shared" ref="F50:F76" si="33">SUM((E50-D50)/D50)</f>
        <v>4.2357575070988369E-2</v>
      </c>
      <c r="G50" s="118">
        <v>1370894871</v>
      </c>
      <c r="H50" s="1">
        <f>SUM((G50-E50)/E50)</f>
        <v>3.5748480690348854E-2</v>
      </c>
      <c r="I50" s="236">
        <v>1414420856</v>
      </c>
      <c r="J50" s="1">
        <f t="shared" ref="J50:J76" si="34">SUM((I50-G50)/G50)</f>
        <v>3.1750053137371462E-2</v>
      </c>
      <c r="K50" s="5">
        <v>1480107341</v>
      </c>
      <c r="L50" s="1">
        <f t="shared" ref="L50:L76" si="35">SUM((K50-I50)/I50)</f>
        <v>4.6440551778741589E-2</v>
      </c>
      <c r="M50" s="5">
        <v>1652231775</v>
      </c>
      <c r="N50" s="1">
        <f t="shared" ref="N50:N76" si="36">SUM((M50-K50)/K50)</f>
        <v>0.11629185886187697</v>
      </c>
      <c r="O50" s="236">
        <v>1752518472.3333333</v>
      </c>
      <c r="P50" s="1">
        <f t="shared" ref="P50:T65" si="37">SUM((O50-M50)/M50)</f>
        <v>6.0697717384919109E-2</v>
      </c>
      <c r="Q50" s="236">
        <v>1883912364.3333697</v>
      </c>
      <c r="R50" s="1">
        <f t="shared" si="37"/>
        <v>7.497432641899425E-2</v>
      </c>
      <c r="S50" s="236">
        <v>2037205246.3333333</v>
      </c>
      <c r="T50" s="1">
        <f t="shared" si="37"/>
        <v>8.1369433579893111E-2</v>
      </c>
      <c r="U50" s="262">
        <v>2494464746</v>
      </c>
      <c r="V50" s="1">
        <f t="shared" ref="V50:V76" si="38">SUM((U50-S50)/S50)</f>
        <v>0.22445431087008336</v>
      </c>
      <c r="W50" s="262">
        <v>3108961068</v>
      </c>
      <c r="X50" s="1">
        <f t="shared" ref="X50:Z65" si="39">SUM((W50-U50)/U50)</f>
        <v>0.24634395935455727</v>
      </c>
      <c r="Y50" s="262">
        <v>3476206419</v>
      </c>
      <c r="Z50" s="1">
        <f t="shared" si="39"/>
        <v>0.11812478283500975</v>
      </c>
      <c r="AA50" s="262">
        <v>3592486756</v>
      </c>
      <c r="AB50" s="1">
        <f t="shared" ref="AB50:AB76" si="40">SUM((AA50-Y50)/Y50)</f>
        <v>3.345035449116119E-2</v>
      </c>
      <c r="AC50" s="262">
        <v>3466635030</v>
      </c>
      <c r="AD50" s="1">
        <f t="shared" ref="AD50:AD76" si="41">SUM((AC50-AA50)/AA50)</f>
        <v>-3.5031924833072367E-2</v>
      </c>
      <c r="AE50" s="262">
        <v>3083748249</v>
      </c>
      <c r="AF50" s="1">
        <f t="shared" ref="AF50:AF68" si="42">SUM((AE50-AC50)/AC50)</f>
        <v>-0.11044911785824768</v>
      </c>
      <c r="AG50" s="262">
        <v>2841724812</v>
      </c>
      <c r="AH50" s="1">
        <f t="shared" ref="AH50:AH68" si="43">SUM((AG50-AE50)/AE50)</f>
        <v>-7.8483526363892872E-2</v>
      </c>
      <c r="AI50" s="262">
        <v>2685719609</v>
      </c>
      <c r="AJ50" s="1">
        <f t="shared" ref="AJ50:AJ68" si="44">SUM((AI50-AG50)/AG50)</f>
        <v>-5.4898068363700515E-2</v>
      </c>
      <c r="AK50" s="262">
        <v>2521699000</v>
      </c>
      <c r="AL50" s="1">
        <f t="shared" ref="AL50:AL68" si="45">SUM((AK50-AI50)/AI50)</f>
        <v>-6.1071382303036235E-2</v>
      </c>
      <c r="AM50" s="262">
        <v>2731022914</v>
      </c>
      <c r="AN50" s="1">
        <f t="shared" ref="AN50:AN68" si="46">SUM((AM50-AK50)/AK50)</f>
        <v>8.3009079989324663E-2</v>
      </c>
      <c r="AO50" s="262">
        <v>2799874465</v>
      </c>
      <c r="AP50" s="1">
        <f t="shared" ref="AP50:AP113" si="47">(AO50-AM50)/AM50</f>
        <v>2.5210901983666038E-2</v>
      </c>
    </row>
    <row r="51" spans="1:42" x14ac:dyDescent="0.2">
      <c r="A51" s="3" t="s">
        <v>57</v>
      </c>
      <c r="B51" s="320">
        <f t="shared" si="32"/>
        <v>1.7596942332025967E-2</v>
      </c>
      <c r="C51" s="320">
        <f>[1]Population!O45</f>
        <v>7.8329764233805547E-3</v>
      </c>
      <c r="D51" s="5">
        <v>54147355</v>
      </c>
      <c r="E51" s="5">
        <v>62097905</v>
      </c>
      <c r="F51" s="1">
        <f t="shared" si="33"/>
        <v>0.14683173351680798</v>
      </c>
      <c r="G51" s="5">
        <v>70019517</v>
      </c>
      <c r="H51" s="1">
        <f t="shared" ref="H51:H76" si="48">SUM((G51-E51)/E51)</f>
        <v>0.12756649358782715</v>
      </c>
      <c r="I51" s="236">
        <v>75722290</v>
      </c>
      <c r="J51" s="1">
        <f t="shared" si="34"/>
        <v>8.1445477551637502E-2</v>
      </c>
      <c r="K51" s="5">
        <v>84843619</v>
      </c>
      <c r="L51" s="1">
        <f t="shared" si="35"/>
        <v>0.12045764859990367</v>
      </c>
      <c r="M51" s="5">
        <v>87686499.666666672</v>
      </c>
      <c r="N51" s="1">
        <f t="shared" si="36"/>
        <v>3.3507300845649589E-2</v>
      </c>
      <c r="O51" s="236">
        <v>97216566</v>
      </c>
      <c r="P51" s="1">
        <f t="shared" si="37"/>
        <v>0.10868339333376432</v>
      </c>
      <c r="Q51" s="236">
        <v>113998648.0000008</v>
      </c>
      <c r="R51" s="1">
        <f t="shared" si="37"/>
        <v>0.17262574364127206</v>
      </c>
      <c r="S51" s="236">
        <v>124557715.33333333</v>
      </c>
      <c r="T51" s="1">
        <f t="shared" si="37"/>
        <v>9.2624496154835534E-2</v>
      </c>
      <c r="U51" s="262">
        <v>139872906</v>
      </c>
      <c r="V51" s="1">
        <f t="shared" si="38"/>
        <v>0.12295657981266873</v>
      </c>
      <c r="W51" s="262">
        <v>172910142</v>
      </c>
      <c r="X51" s="1">
        <f t="shared" si="39"/>
        <v>0.2361946780457968</v>
      </c>
      <c r="Y51" s="262">
        <v>195950226</v>
      </c>
      <c r="Z51" s="1">
        <f t="shared" si="39"/>
        <v>0.13324888715897301</v>
      </c>
      <c r="AA51" s="262">
        <v>212165750</v>
      </c>
      <c r="AB51" s="1">
        <f t="shared" si="40"/>
        <v>8.2753280417242281E-2</v>
      </c>
      <c r="AC51" s="262">
        <v>210395207</v>
      </c>
      <c r="AD51" s="1">
        <f t="shared" si="41"/>
        <v>-8.3450933998536515E-3</v>
      </c>
      <c r="AE51" s="262">
        <v>170082824</v>
      </c>
      <c r="AF51" s="1">
        <f t="shared" si="42"/>
        <v>-0.19160314331685321</v>
      </c>
      <c r="AG51" s="262">
        <v>156353420</v>
      </c>
      <c r="AH51" s="1">
        <f t="shared" si="43"/>
        <v>-8.0721872303813585E-2</v>
      </c>
      <c r="AI51" s="262">
        <v>152959635</v>
      </c>
      <c r="AJ51" s="1">
        <f t="shared" si="44"/>
        <v>-2.1705857153620306E-2</v>
      </c>
      <c r="AK51" s="262">
        <v>147634655</v>
      </c>
      <c r="AL51" s="1">
        <f t="shared" si="45"/>
        <v>-3.4812975331694536E-2</v>
      </c>
      <c r="AM51" s="262">
        <v>165419567</v>
      </c>
      <c r="AN51" s="1">
        <f t="shared" si="46"/>
        <v>0.12046569960149262</v>
      </c>
      <c r="AO51" s="262">
        <v>182748874</v>
      </c>
      <c r="AP51" s="1">
        <f t="shared" si="47"/>
        <v>0.10475971684776565</v>
      </c>
    </row>
    <row r="52" spans="1:42" x14ac:dyDescent="0.2">
      <c r="A52" s="3" t="s">
        <v>58</v>
      </c>
      <c r="B52" s="320">
        <f t="shared" si="32"/>
        <v>6.258196069526367E-3</v>
      </c>
      <c r="C52" s="320">
        <f>[1]Population!O46</f>
        <v>9.6687011281231215E-3</v>
      </c>
      <c r="D52" s="5">
        <v>7325545</v>
      </c>
      <c r="E52" s="5">
        <v>7465424</v>
      </c>
      <c r="F52" s="1">
        <f t="shared" si="33"/>
        <v>1.9094688518055652E-2</v>
      </c>
      <c r="G52" s="5">
        <v>7601343</v>
      </c>
      <c r="H52" s="1">
        <f t="shared" si="48"/>
        <v>1.8206467576389499E-2</v>
      </c>
      <c r="I52" s="236">
        <v>8466978</v>
      </c>
      <c r="J52" s="1">
        <f t="shared" si="34"/>
        <v>0.11387921844863468</v>
      </c>
      <c r="K52" s="5">
        <v>8730271</v>
      </c>
      <c r="L52" s="1">
        <f t="shared" si="35"/>
        <v>3.1096454957128743E-2</v>
      </c>
      <c r="M52" s="5">
        <v>8972041.3333333321</v>
      </c>
      <c r="N52" s="1">
        <f t="shared" si="36"/>
        <v>2.7693336590964027E-2</v>
      </c>
      <c r="O52" s="236">
        <v>9031842.6666666679</v>
      </c>
      <c r="P52" s="1">
        <f t="shared" si="37"/>
        <v>6.6652984657080442E-3</v>
      </c>
      <c r="Q52" s="236">
        <v>9813052.0000008009</v>
      </c>
      <c r="R52" s="1">
        <f t="shared" si="37"/>
        <v>8.6495011280178738E-2</v>
      </c>
      <c r="S52" s="236">
        <v>9986233</v>
      </c>
      <c r="T52" s="1">
        <f t="shared" si="37"/>
        <v>1.7648026322410696E-2</v>
      </c>
      <c r="U52" s="262">
        <v>11993190</v>
      </c>
      <c r="V52" s="1">
        <f t="shared" si="38"/>
        <v>0.20097237867372011</v>
      </c>
      <c r="W52" s="262">
        <v>13043978</v>
      </c>
      <c r="X52" s="1">
        <f t="shared" si="39"/>
        <v>8.7615388399583424E-2</v>
      </c>
      <c r="Y52" s="262">
        <v>14342467</v>
      </c>
      <c r="Z52" s="1">
        <f t="shared" si="39"/>
        <v>9.9547009355581556E-2</v>
      </c>
      <c r="AA52" s="262">
        <v>14977114</v>
      </c>
      <c r="AB52" s="1">
        <f t="shared" si="40"/>
        <v>4.4249500452049152E-2</v>
      </c>
      <c r="AC52" s="262">
        <v>14784179</v>
      </c>
      <c r="AD52" s="1">
        <f t="shared" si="41"/>
        <v>-1.288198781153699E-2</v>
      </c>
      <c r="AE52" s="262">
        <v>12598257</v>
      </c>
      <c r="AF52" s="1">
        <f t="shared" si="42"/>
        <v>-0.14785548795100492</v>
      </c>
      <c r="AG52" s="262">
        <v>12130067</v>
      </c>
      <c r="AH52" s="1">
        <f t="shared" si="43"/>
        <v>-3.7163077400310218E-2</v>
      </c>
      <c r="AI52" s="262">
        <v>11217651</v>
      </c>
      <c r="AJ52" s="1">
        <f t="shared" si="44"/>
        <v>-7.52193701815497E-2</v>
      </c>
      <c r="AK52" s="262">
        <v>8944300</v>
      </c>
      <c r="AL52" s="1">
        <f t="shared" si="45"/>
        <v>-0.20265838186622137</v>
      </c>
      <c r="AM52" s="262">
        <v>11856735</v>
      </c>
      <c r="AN52" s="1">
        <f t="shared" si="46"/>
        <v>0.32561910937692162</v>
      </c>
      <c r="AO52" s="262">
        <v>12102320</v>
      </c>
      <c r="AP52" s="1">
        <f t="shared" si="47"/>
        <v>2.0712700418791512E-2</v>
      </c>
    </row>
    <row r="53" spans="1:42" x14ac:dyDescent="0.2">
      <c r="A53" s="3" t="s">
        <v>59</v>
      </c>
      <c r="B53" s="320">
        <f t="shared" si="32"/>
        <v>-8.0442048410533339E-3</v>
      </c>
      <c r="C53" s="320">
        <f>[1]Population!O47</f>
        <v>1.9113923447171954E-2</v>
      </c>
      <c r="D53" s="5">
        <v>82640132</v>
      </c>
      <c r="E53" s="5">
        <v>86665968</v>
      </c>
      <c r="F53" s="1">
        <f t="shared" si="33"/>
        <v>4.8715265846864815E-2</v>
      </c>
      <c r="G53" s="5">
        <v>91845731</v>
      </c>
      <c r="H53" s="1">
        <f t="shared" si="48"/>
        <v>5.9766977967637767E-2</v>
      </c>
      <c r="I53" s="236">
        <v>93874364</v>
      </c>
      <c r="J53" s="1">
        <f t="shared" si="34"/>
        <v>2.2087395656963087E-2</v>
      </c>
      <c r="K53" s="5">
        <v>99938474</v>
      </c>
      <c r="L53" s="1">
        <f t="shared" si="35"/>
        <v>6.4598147370670864E-2</v>
      </c>
      <c r="M53" s="5">
        <v>101727484.33333333</v>
      </c>
      <c r="N53" s="1">
        <f t="shared" si="36"/>
        <v>1.790111717468618E-2</v>
      </c>
      <c r="O53" s="236">
        <v>103875198</v>
      </c>
      <c r="P53" s="1">
        <f t="shared" si="37"/>
        <v>2.1112422869213963E-2</v>
      </c>
      <c r="Q53" s="236">
        <v>112319927.0000008</v>
      </c>
      <c r="R53" s="1">
        <f t="shared" si="37"/>
        <v>8.1296875121246989E-2</v>
      </c>
      <c r="S53" s="236">
        <v>115538487.33333333</v>
      </c>
      <c r="T53" s="1">
        <f t="shared" si="37"/>
        <v>2.8655292246873527E-2</v>
      </c>
      <c r="U53" s="262">
        <v>129707386</v>
      </c>
      <c r="V53" s="1">
        <f t="shared" si="38"/>
        <v>0.12263358291846778</v>
      </c>
      <c r="W53" s="262">
        <v>160440460</v>
      </c>
      <c r="X53" s="1">
        <f t="shared" si="39"/>
        <v>0.23694158789076206</v>
      </c>
      <c r="Y53" s="262">
        <v>182829183</v>
      </c>
      <c r="Z53" s="1">
        <f t="shared" si="39"/>
        <v>0.13954536779562959</v>
      </c>
      <c r="AA53" s="262">
        <v>200212547</v>
      </c>
      <c r="AB53" s="1">
        <f t="shared" si="40"/>
        <v>9.5079810097931691E-2</v>
      </c>
      <c r="AC53" s="262">
        <v>191697364</v>
      </c>
      <c r="AD53" s="1">
        <f t="shared" si="41"/>
        <v>-4.2530716119404843E-2</v>
      </c>
      <c r="AE53" s="262">
        <v>161233552</v>
      </c>
      <c r="AF53" s="1">
        <f t="shared" si="42"/>
        <v>-0.15891617581136902</v>
      </c>
      <c r="AG53" s="262">
        <v>145303906</v>
      </c>
      <c r="AH53" s="1">
        <f t="shared" si="43"/>
        <v>-9.8798580087102461E-2</v>
      </c>
      <c r="AI53" s="262">
        <v>139477090</v>
      </c>
      <c r="AJ53" s="1">
        <f t="shared" si="44"/>
        <v>-4.0100890336698863E-2</v>
      </c>
      <c r="AK53" s="262">
        <v>131475633</v>
      </c>
      <c r="AL53" s="1">
        <f t="shared" si="45"/>
        <v>-5.7367536130844138E-2</v>
      </c>
      <c r="AM53" s="262">
        <v>140265145</v>
      </c>
      <c r="AN53" s="1">
        <f t="shared" si="46"/>
        <v>6.6852783283424089E-2</v>
      </c>
      <c r="AO53" s="262">
        <v>152775842</v>
      </c>
      <c r="AP53" s="1">
        <f t="shared" si="47"/>
        <v>8.9193199065954701E-2</v>
      </c>
    </row>
    <row r="54" spans="1:42" x14ac:dyDescent="0.2">
      <c r="A54" s="3" t="s">
        <v>103</v>
      </c>
      <c r="B54" s="320">
        <f t="shared" si="32"/>
        <v>-1.7086530241269708E-2</v>
      </c>
      <c r="C54" s="320"/>
      <c r="D54" s="5">
        <v>1239660251</v>
      </c>
      <c r="E54" s="5">
        <v>1291257489</v>
      </c>
      <c r="F54" s="1">
        <f t="shared" si="33"/>
        <v>4.1622079887112556E-2</v>
      </c>
      <c r="G54" s="5">
        <v>1334952362</v>
      </c>
      <c r="H54" s="1">
        <f t="shared" si="48"/>
        <v>3.3839008386963167E-2</v>
      </c>
      <c r="I54" s="236">
        <v>1378390427</v>
      </c>
      <c r="J54" s="1">
        <f t="shared" si="34"/>
        <v>3.2539037524097057E-2</v>
      </c>
      <c r="K54" s="5">
        <v>1443278709</v>
      </c>
      <c r="L54" s="1">
        <f t="shared" si="35"/>
        <v>4.7075400937908574E-2</v>
      </c>
      <c r="M54" s="5">
        <v>1612655782.6666667</v>
      </c>
      <c r="N54" s="1">
        <f t="shared" si="36"/>
        <v>0.1173557626884294</v>
      </c>
      <c r="O54" s="236">
        <v>1709865633</v>
      </c>
      <c r="P54" s="1">
        <f t="shared" si="37"/>
        <v>6.0279354948635289E-2</v>
      </c>
      <c r="Q54" s="236">
        <v>1839743798.3333678</v>
      </c>
      <c r="R54" s="1">
        <f t="shared" si="37"/>
        <v>7.5958112045034484E-2</v>
      </c>
      <c r="S54" s="236">
        <v>1991557154</v>
      </c>
      <c r="T54" s="1">
        <f t="shared" si="37"/>
        <v>8.251874842799338E-2</v>
      </c>
      <c r="U54" s="262">
        <v>2409555196</v>
      </c>
      <c r="V54" s="1">
        <f t="shared" si="38"/>
        <v>0.20988503451204493</v>
      </c>
      <c r="W54" s="262">
        <v>2999263472</v>
      </c>
      <c r="X54" s="1">
        <f t="shared" si="39"/>
        <v>0.24473740090243609</v>
      </c>
      <c r="Y54" s="262">
        <v>3345862990</v>
      </c>
      <c r="Z54" s="1">
        <f t="shared" si="39"/>
        <v>0.11556154410431869</v>
      </c>
      <c r="AA54" s="262">
        <v>3454636298</v>
      </c>
      <c r="AB54" s="1">
        <f t="shared" si="40"/>
        <v>3.2509791442476253E-2</v>
      </c>
      <c r="AC54" s="262">
        <v>3321758145</v>
      </c>
      <c r="AD54" s="1">
        <f t="shared" si="41"/>
        <v>-3.8463717027730944E-2</v>
      </c>
      <c r="AE54" s="262">
        <v>2957922845</v>
      </c>
      <c r="AF54" s="1">
        <f t="shared" si="42"/>
        <v>-0.1095309423859334</v>
      </c>
      <c r="AG54" s="262">
        <v>2721151414</v>
      </c>
      <c r="AH54" s="1">
        <f t="shared" si="43"/>
        <v>-8.0046520280348962E-2</v>
      </c>
      <c r="AI54" s="262">
        <v>2585907983</v>
      </c>
      <c r="AJ54" s="1">
        <f t="shared" si="44"/>
        <v>-4.97008105848828E-2</v>
      </c>
      <c r="AK54" s="262">
        <v>2418648159</v>
      </c>
      <c r="AL54" s="1">
        <f t="shared" si="45"/>
        <v>-6.4681274468999544E-2</v>
      </c>
      <c r="AM54" s="262">
        <v>2615789950</v>
      </c>
      <c r="AN54" s="1">
        <f t="shared" si="46"/>
        <v>8.1509081949938958E-2</v>
      </c>
      <c r="AO54" s="262">
        <v>2687689834</v>
      </c>
      <c r="AP54" s="1">
        <f t="shared" si="47"/>
        <v>2.7486872177943798E-2</v>
      </c>
    </row>
    <row r="55" spans="1:42" x14ac:dyDescent="0.2">
      <c r="A55" s="3" t="s">
        <v>62</v>
      </c>
      <c r="B55" s="320">
        <f t="shared" si="32"/>
        <v>4.8485934538457023E-3</v>
      </c>
      <c r="C55" s="320"/>
      <c r="D55" s="5">
        <v>9662128</v>
      </c>
      <c r="E55" s="5">
        <v>9699210</v>
      </c>
      <c r="F55" s="1">
        <f t="shared" si="33"/>
        <v>3.8378709120806512E-3</v>
      </c>
      <c r="G55" s="5">
        <v>9780641</v>
      </c>
      <c r="H55" s="1">
        <f t="shared" si="48"/>
        <v>8.3956322215933046E-3</v>
      </c>
      <c r="I55" s="236">
        <v>9820835</v>
      </c>
      <c r="J55" s="1">
        <f t="shared" si="34"/>
        <v>4.109546603336121E-3</v>
      </c>
      <c r="K55" s="5">
        <v>9824709</v>
      </c>
      <c r="L55" s="1">
        <f t="shared" si="35"/>
        <v>3.9446747654349148E-4</v>
      </c>
      <c r="M55" s="5">
        <v>13009893</v>
      </c>
      <c r="N55" s="1">
        <f t="shared" si="36"/>
        <v>0.32420135802495526</v>
      </c>
      <c r="O55" s="236">
        <v>13101163</v>
      </c>
      <c r="P55" s="1">
        <f t="shared" si="37"/>
        <v>7.015430488167735E-3</v>
      </c>
      <c r="Q55" s="236">
        <v>13447680.054993998</v>
      </c>
      <c r="R55" s="1">
        <f t="shared" si="37"/>
        <v>2.644933545166931E-2</v>
      </c>
      <c r="S55" s="236">
        <v>13461597</v>
      </c>
      <c r="T55" s="1">
        <f t="shared" si="37"/>
        <v>1.0348956064606455E-3</v>
      </c>
      <c r="U55" s="262">
        <v>17322175</v>
      </c>
      <c r="V55" s="1">
        <f t="shared" si="38"/>
        <v>0.28678454718262625</v>
      </c>
      <c r="W55" s="262">
        <v>25820620</v>
      </c>
      <c r="X55" s="1">
        <f t="shared" si="39"/>
        <v>0.4906107345064924</v>
      </c>
      <c r="Y55" s="262">
        <v>25906309</v>
      </c>
      <c r="Z55" s="1">
        <f t="shared" si="39"/>
        <v>3.318626740953548E-3</v>
      </c>
      <c r="AA55" s="262">
        <v>26203848</v>
      </c>
      <c r="AB55" s="1">
        <f t="shared" si="40"/>
        <v>1.148519459101642E-2</v>
      </c>
      <c r="AC55" s="262">
        <v>26533633</v>
      </c>
      <c r="AD55" s="1">
        <f t="shared" si="41"/>
        <v>1.2585365324970592E-2</v>
      </c>
      <c r="AE55" s="262">
        <v>24254080</v>
      </c>
      <c r="AF55" s="1">
        <f t="shared" si="42"/>
        <v>-8.5911831221906168E-2</v>
      </c>
      <c r="AG55" s="262">
        <v>24040920</v>
      </c>
      <c r="AH55" s="1">
        <f t="shared" si="43"/>
        <v>-8.7886244293743573E-3</v>
      </c>
      <c r="AI55" s="262">
        <v>23550358</v>
      </c>
      <c r="AJ55" s="1">
        <f t="shared" si="44"/>
        <v>-2.0405292309944877E-2</v>
      </c>
      <c r="AK55" s="262">
        <v>23702899</v>
      </c>
      <c r="AL55" s="1">
        <f t="shared" si="45"/>
        <v>6.477226375921759E-3</v>
      </c>
      <c r="AM55" s="262">
        <v>24199715</v>
      </c>
      <c r="AN55" s="1">
        <f t="shared" si="46"/>
        <v>2.096013656388613E-2</v>
      </c>
      <c r="AO55" s="262">
        <v>24828896</v>
      </c>
      <c r="AP55" s="1">
        <f t="shared" si="47"/>
        <v>2.5999521068739859E-2</v>
      </c>
    </row>
    <row r="56" spans="1:42" x14ac:dyDescent="0.2">
      <c r="A56" s="3" t="s">
        <v>135</v>
      </c>
      <c r="B56" s="320">
        <f t="shared" si="32"/>
        <v>-3.7686874571084827E-2</v>
      </c>
      <c r="C56" s="320"/>
      <c r="D56" s="5">
        <v>203855629</v>
      </c>
      <c r="E56" s="5">
        <v>199671294</v>
      </c>
      <c r="F56" s="1">
        <f t="shared" si="33"/>
        <v>-2.0525972329172231E-2</v>
      </c>
      <c r="G56" s="5">
        <v>200194626</v>
      </c>
      <c r="H56" s="1">
        <f t="shared" si="48"/>
        <v>2.6209676389436329E-3</v>
      </c>
      <c r="I56" s="236">
        <v>202342839</v>
      </c>
      <c r="J56" s="1">
        <f t="shared" si="34"/>
        <v>1.0730622709123071E-2</v>
      </c>
      <c r="K56" s="5">
        <v>240650967</v>
      </c>
      <c r="L56" s="1">
        <f t="shared" si="35"/>
        <v>0.189322874925166</v>
      </c>
      <c r="M56" s="5">
        <v>201398884</v>
      </c>
      <c r="N56" s="1">
        <f t="shared" si="36"/>
        <v>-0.16310793797890702</v>
      </c>
      <c r="O56" s="236">
        <v>199768456.33333334</v>
      </c>
      <c r="P56" s="1">
        <f t="shared" si="37"/>
        <v>-8.0955149019924892E-3</v>
      </c>
      <c r="Q56" s="236">
        <v>196589206.66666844</v>
      </c>
      <c r="R56" s="1">
        <f t="shared" si="37"/>
        <v>-1.5914673042074307E-2</v>
      </c>
      <c r="S56" s="236">
        <v>199834057</v>
      </c>
      <c r="T56" s="1">
        <f t="shared" si="37"/>
        <v>1.6505740006537793E-2</v>
      </c>
      <c r="U56" s="262">
        <v>209805704</v>
      </c>
      <c r="V56" s="1">
        <f t="shared" si="38"/>
        <v>4.989963747770982E-2</v>
      </c>
      <c r="W56" s="262">
        <v>208037862</v>
      </c>
      <c r="X56" s="1">
        <f t="shared" si="39"/>
        <v>-8.4260912181872809E-3</v>
      </c>
      <c r="Y56" s="262">
        <v>209616047</v>
      </c>
      <c r="Z56" s="1">
        <f t="shared" si="39"/>
        <v>7.5860470052321535E-3</v>
      </c>
      <c r="AA56" s="262">
        <v>209890104</v>
      </c>
      <c r="AB56" s="1">
        <f t="shared" si="40"/>
        <v>1.3074237584491802E-3</v>
      </c>
      <c r="AC56" s="262">
        <v>208339569</v>
      </c>
      <c r="AD56" s="1">
        <f t="shared" si="41"/>
        <v>-7.3873659141166564E-3</v>
      </c>
      <c r="AE56" s="262">
        <v>170612826</v>
      </c>
      <c r="AF56" s="1">
        <f t="shared" si="42"/>
        <v>-0.1810829463701156</v>
      </c>
      <c r="AG56" s="262">
        <v>170611666</v>
      </c>
      <c r="AH56" s="1">
        <f t="shared" si="43"/>
        <v>-6.799019904869286E-6</v>
      </c>
      <c r="AI56" s="262">
        <v>166094530</v>
      </c>
      <c r="AJ56" s="1">
        <f t="shared" si="44"/>
        <v>-2.6476126198779395E-2</v>
      </c>
      <c r="AK56" s="262">
        <v>163475376</v>
      </c>
      <c r="AL56" s="1">
        <f t="shared" si="45"/>
        <v>-1.5769056331957472E-2</v>
      </c>
      <c r="AM56" s="262">
        <v>168471177</v>
      </c>
      <c r="AN56" s="1">
        <f t="shared" si="46"/>
        <v>3.0559960296405741E-2</v>
      </c>
      <c r="AO56" s="262">
        <v>138695185</v>
      </c>
      <c r="AP56" s="1">
        <f t="shared" si="47"/>
        <v>-0.17674235160118815</v>
      </c>
    </row>
    <row r="57" spans="1:42" x14ac:dyDescent="0.2">
      <c r="A57" s="3" t="s">
        <v>136</v>
      </c>
      <c r="B57" s="320">
        <f t="shared" si="32"/>
        <v>-1.0136658359331085E-2</v>
      </c>
      <c r="C57" s="320"/>
      <c r="D57" s="5">
        <v>675605278</v>
      </c>
      <c r="E57" s="5">
        <v>720534984</v>
      </c>
      <c r="F57" s="1">
        <f t="shared" si="33"/>
        <v>6.6502893720732592E-2</v>
      </c>
      <c r="G57" s="5">
        <v>761419060</v>
      </c>
      <c r="H57" s="1">
        <f t="shared" si="48"/>
        <v>5.6741278227789703E-2</v>
      </c>
      <c r="I57" s="236">
        <v>794732689</v>
      </c>
      <c r="J57" s="1">
        <f t="shared" si="34"/>
        <v>4.3752029270189272E-2</v>
      </c>
      <c r="K57" s="5">
        <v>850934390</v>
      </c>
      <c r="L57" s="1">
        <f t="shared" si="35"/>
        <v>7.0717741673263418E-2</v>
      </c>
      <c r="M57" s="5">
        <v>890217923</v>
      </c>
      <c r="N57" s="1">
        <f t="shared" si="36"/>
        <v>4.6165172616892354E-2</v>
      </c>
      <c r="O57" s="236">
        <v>959733184</v>
      </c>
      <c r="P57" s="1">
        <f t="shared" si="37"/>
        <v>7.8087914435306202E-2</v>
      </c>
      <c r="Q57" s="236">
        <v>1062080706.6666666</v>
      </c>
      <c r="R57" s="1">
        <f t="shared" si="37"/>
        <v>0.10664164204482339</v>
      </c>
      <c r="S57" s="236">
        <v>1224393946.6666667</v>
      </c>
      <c r="T57" s="1">
        <f t="shared" si="37"/>
        <v>0.15282571181376522</v>
      </c>
      <c r="U57" s="262">
        <v>1485706107</v>
      </c>
      <c r="V57" s="1">
        <f t="shared" si="38"/>
        <v>0.21342163692064853</v>
      </c>
      <c r="W57" s="262">
        <v>1749455219</v>
      </c>
      <c r="X57" s="1">
        <f t="shared" si="39"/>
        <v>0.17752441802408234</v>
      </c>
      <c r="Y57" s="262">
        <v>2070474645</v>
      </c>
      <c r="Z57" s="1">
        <f t="shared" si="39"/>
        <v>0.18349679518147186</v>
      </c>
      <c r="AA57" s="262">
        <v>2169728575</v>
      </c>
      <c r="AB57" s="1">
        <f t="shared" si="40"/>
        <v>4.7937766463206313E-2</v>
      </c>
      <c r="AC57" s="262">
        <v>2040458869</v>
      </c>
      <c r="AD57" s="1">
        <f t="shared" si="41"/>
        <v>-5.9578745235449551E-2</v>
      </c>
      <c r="AE57" s="262">
        <v>1743495763</v>
      </c>
      <c r="AF57" s="1">
        <f t="shared" si="42"/>
        <v>-0.14553741342776363</v>
      </c>
      <c r="AG57" s="262">
        <v>1595706704</v>
      </c>
      <c r="AH57" s="1">
        <f t="shared" si="43"/>
        <v>-8.4765941011351917E-2</v>
      </c>
      <c r="AI57" s="262">
        <v>1521508228</v>
      </c>
      <c r="AJ57" s="1">
        <f t="shared" si="44"/>
        <v>-4.6498818243982262E-2</v>
      </c>
      <c r="AK57" s="262">
        <v>1466777461</v>
      </c>
      <c r="AL57" s="1">
        <f t="shared" si="45"/>
        <v>-3.5971390750835955E-2</v>
      </c>
      <c r="AM57" s="262">
        <v>1567585871</v>
      </c>
      <c r="AN57" s="1">
        <f t="shared" si="46"/>
        <v>6.8727815009696283E-2</v>
      </c>
      <c r="AO57" s="262">
        <v>1642555733</v>
      </c>
      <c r="AP57" s="1">
        <f t="shared" si="47"/>
        <v>4.782504319981843E-2</v>
      </c>
    </row>
    <row r="58" spans="1:42" x14ac:dyDescent="0.2">
      <c r="A58" s="3" t="s">
        <v>137</v>
      </c>
      <c r="B58" s="320">
        <f t="shared" si="32"/>
        <v>-1.0209396863541449E-2</v>
      </c>
      <c r="C58" s="320"/>
      <c r="D58" s="5">
        <f>630202667-D51</f>
        <v>576055312</v>
      </c>
      <c r="E58" s="5">
        <v>620490124</v>
      </c>
      <c r="F58" s="1">
        <f t="shared" si="33"/>
        <v>7.7136363599750984E-2</v>
      </c>
      <c r="G58" s="5">
        <v>647269231</v>
      </c>
      <c r="H58" s="1">
        <f t="shared" si="48"/>
        <v>4.3157990698333822E-2</v>
      </c>
      <c r="I58" s="236">
        <v>736584960</v>
      </c>
      <c r="J58" s="1">
        <f t="shared" si="34"/>
        <v>0.13798852891865643</v>
      </c>
      <c r="K58" s="5">
        <v>782775412</v>
      </c>
      <c r="L58" s="1">
        <f t="shared" si="35"/>
        <v>6.2708926340282592E-2</v>
      </c>
      <c r="M58" s="5">
        <v>818013942.33333337</v>
      </c>
      <c r="N58" s="1">
        <f t="shared" si="36"/>
        <v>4.501742108033073E-2</v>
      </c>
      <c r="O58" s="236">
        <v>884160409.66666663</v>
      </c>
      <c r="P58" s="1">
        <f t="shared" si="37"/>
        <v>8.0862273746404145E-2</v>
      </c>
      <c r="Q58" s="236">
        <v>990976742.33333993</v>
      </c>
      <c r="R58" s="1">
        <f t="shared" si="37"/>
        <v>0.12081103326820938</v>
      </c>
      <c r="S58" s="236">
        <v>1109010458.6666665</v>
      </c>
      <c r="T58" s="1">
        <f t="shared" si="37"/>
        <v>0.11910846268238955</v>
      </c>
      <c r="U58" s="262">
        <v>1318248188</v>
      </c>
      <c r="V58" s="1">
        <f t="shared" si="38"/>
        <v>0.18867065472483857</v>
      </c>
      <c r="W58" s="262">
        <v>1592380786</v>
      </c>
      <c r="X58" s="1">
        <f t="shared" si="39"/>
        <v>0.20795219025933528</v>
      </c>
      <c r="Y58" s="262">
        <v>1901963467</v>
      </c>
      <c r="Z58" s="1">
        <f t="shared" si="39"/>
        <v>0.19441498146788114</v>
      </c>
      <c r="AA58" s="262">
        <v>1984737446</v>
      </c>
      <c r="AB58" s="1">
        <f t="shared" si="40"/>
        <v>4.3520278089547552E-2</v>
      </c>
      <c r="AC58" s="262">
        <v>2141590541</v>
      </c>
      <c r="AD58" s="1">
        <f t="shared" si="41"/>
        <v>7.9029644609224556E-2</v>
      </c>
      <c r="AE58" s="262">
        <v>1829395868</v>
      </c>
      <c r="AF58" s="1">
        <f t="shared" si="42"/>
        <v>-0.14577701340342258</v>
      </c>
      <c r="AG58" s="262">
        <v>1677895194</v>
      </c>
      <c r="AH58" s="1">
        <f t="shared" si="43"/>
        <v>-8.2814592866457704E-2</v>
      </c>
      <c r="AI58" s="262">
        <v>1585004833</v>
      </c>
      <c r="AJ58" s="1">
        <f t="shared" si="44"/>
        <v>-5.5361241472153593E-2</v>
      </c>
      <c r="AK58" s="262">
        <v>1456755301</v>
      </c>
      <c r="AL58" s="1">
        <f t="shared" si="45"/>
        <v>-8.0914284505528691E-2</v>
      </c>
      <c r="AM58" s="262">
        <v>1633328646</v>
      </c>
      <c r="AN58" s="1">
        <f t="shared" si="46"/>
        <v>0.12121002400251434</v>
      </c>
      <c r="AO58" s="262">
        <v>1709822507</v>
      </c>
      <c r="AP58" s="1">
        <f t="shared" si="47"/>
        <v>4.6833110523918406E-2</v>
      </c>
    </row>
    <row r="59" spans="1:42" x14ac:dyDescent="0.2">
      <c r="A59" s="3" t="s">
        <v>138</v>
      </c>
      <c r="B59" s="320">
        <f t="shared" si="32"/>
        <v>-2.6785707494017132E-2</v>
      </c>
      <c r="C59" s="320"/>
      <c r="D59" s="5">
        <f>9257617</f>
        <v>9257617</v>
      </c>
      <c r="E59" s="5">
        <v>9221538</v>
      </c>
      <c r="F59" s="1">
        <f t="shared" si="33"/>
        <v>-3.8972232271004513E-3</v>
      </c>
      <c r="G59" s="5">
        <v>9229234</v>
      </c>
      <c r="H59" s="1">
        <f t="shared" si="48"/>
        <v>8.3456794300473521E-4</v>
      </c>
      <c r="I59" s="236">
        <v>9331984</v>
      </c>
      <c r="J59" s="1">
        <f t="shared" si="34"/>
        <v>1.1133101620351159E-2</v>
      </c>
      <c r="K59" s="5">
        <v>9470911</v>
      </c>
      <c r="L59" s="1">
        <f t="shared" si="35"/>
        <v>1.4887187976318862E-2</v>
      </c>
      <c r="M59" s="5">
        <v>15830756.666666666</v>
      </c>
      <c r="N59" s="1">
        <f t="shared" si="36"/>
        <v>0.67151361328035564</v>
      </c>
      <c r="O59" s="236">
        <v>16150377.666666666</v>
      </c>
      <c r="P59" s="1">
        <f t="shared" si="37"/>
        <v>2.0189875110202146E-2</v>
      </c>
      <c r="Q59" s="236">
        <v>16186287.666667664</v>
      </c>
      <c r="R59" s="1">
        <f t="shared" si="37"/>
        <v>2.2234774159563026E-3</v>
      </c>
      <c r="S59" s="236">
        <v>16199337</v>
      </c>
      <c r="T59" s="1">
        <f t="shared" si="37"/>
        <v>8.0619680071595406E-4</v>
      </c>
      <c r="U59" s="262">
        <v>23528999</v>
      </c>
      <c r="V59" s="1">
        <f t="shared" si="38"/>
        <v>0.45246678922723815</v>
      </c>
      <c r="W59" s="262">
        <v>40094145</v>
      </c>
      <c r="X59" s="1">
        <f t="shared" si="39"/>
        <v>0.7040310554647905</v>
      </c>
      <c r="Y59" s="262">
        <v>40365977</v>
      </c>
      <c r="Z59" s="1">
        <f t="shared" si="39"/>
        <v>6.7798427925074845E-3</v>
      </c>
      <c r="AA59" s="262">
        <v>40437299</v>
      </c>
      <c r="AB59" s="1">
        <f t="shared" si="40"/>
        <v>1.7668840271102568E-3</v>
      </c>
      <c r="AC59" s="262">
        <v>40247678</v>
      </c>
      <c r="AD59" s="1">
        <f t="shared" si="41"/>
        <v>-4.6892597846359615E-3</v>
      </c>
      <c r="AE59" s="262">
        <v>40188110</v>
      </c>
      <c r="AF59" s="1">
        <f t="shared" si="42"/>
        <v>-1.4800356929907856E-3</v>
      </c>
      <c r="AG59" s="262">
        <v>33225435</v>
      </c>
      <c r="AH59" s="1">
        <f t="shared" si="43"/>
        <v>-0.17325211362266102</v>
      </c>
      <c r="AI59" s="262">
        <v>33020571</v>
      </c>
      <c r="AJ59" s="1">
        <f t="shared" si="44"/>
        <v>-6.165878640866553E-3</v>
      </c>
      <c r="AK59" s="262">
        <v>33229435</v>
      </c>
      <c r="AL59" s="1">
        <f t="shared" si="45"/>
        <v>6.3252691784160845E-3</v>
      </c>
      <c r="AM59" s="262">
        <v>33894097</v>
      </c>
      <c r="AN59" s="1">
        <f t="shared" si="46"/>
        <v>2.0002205875603963E-2</v>
      </c>
      <c r="AO59" s="262">
        <v>34543575</v>
      </c>
      <c r="AP59" s="1">
        <f t="shared" si="47"/>
        <v>1.9161979739421884E-2</v>
      </c>
    </row>
    <row r="60" spans="1:42" x14ac:dyDescent="0.2">
      <c r="A60" s="3" t="s">
        <v>139</v>
      </c>
      <c r="B60" s="320">
        <f t="shared" si="32"/>
        <v>-2.9287905653124446E-3</v>
      </c>
      <c r="C60" s="320"/>
      <c r="D60" s="5">
        <v>145355032</v>
      </c>
      <c r="E60" s="5">
        <v>148935905</v>
      </c>
      <c r="F60" s="1">
        <f t="shared" si="33"/>
        <v>2.4635356277173809E-2</v>
      </c>
      <c r="G60" s="5">
        <v>151921695</v>
      </c>
      <c r="H60" s="1">
        <f t="shared" si="48"/>
        <v>2.0047482841696232E-2</v>
      </c>
      <c r="I60" s="236">
        <v>152909014</v>
      </c>
      <c r="J60" s="1">
        <f t="shared" si="34"/>
        <v>6.4988677226119678E-3</v>
      </c>
      <c r="K60" s="5">
        <v>154974785</v>
      </c>
      <c r="L60" s="1">
        <f t="shared" si="35"/>
        <v>1.3509805249283734E-2</v>
      </c>
      <c r="M60" s="5">
        <v>158812263</v>
      </c>
      <c r="N60" s="1">
        <f t="shared" si="36"/>
        <v>2.4761950790898015E-2</v>
      </c>
      <c r="O60" s="236">
        <v>164708606.33333334</v>
      </c>
      <c r="P60" s="1">
        <f t="shared" si="37"/>
        <v>3.7127758410780552E-2</v>
      </c>
      <c r="Q60" s="236">
        <v>180907792.66666743</v>
      </c>
      <c r="R60" s="1">
        <f t="shared" si="37"/>
        <v>9.8350576171779155E-2</v>
      </c>
      <c r="S60" s="236">
        <v>211598637.33333334</v>
      </c>
      <c r="T60" s="1">
        <f t="shared" si="37"/>
        <v>0.16964910253045584</v>
      </c>
      <c r="U60" s="262">
        <v>216399569</v>
      </c>
      <c r="V60" s="1">
        <f t="shared" si="38"/>
        <v>2.2688859092715723E-2</v>
      </c>
      <c r="W60" s="262">
        <v>273986110</v>
      </c>
      <c r="X60" s="1">
        <f t="shared" si="39"/>
        <v>0.26611208731196689</v>
      </c>
      <c r="Y60" s="262">
        <v>306631980</v>
      </c>
      <c r="Z60" s="1">
        <f t="shared" si="39"/>
        <v>0.11915155114980099</v>
      </c>
      <c r="AA60" s="262">
        <v>319482060</v>
      </c>
      <c r="AB60" s="1">
        <f t="shared" si="40"/>
        <v>4.1907174848494273E-2</v>
      </c>
      <c r="AC60" s="262">
        <v>292105717</v>
      </c>
      <c r="AD60" s="1">
        <f t="shared" si="41"/>
        <v>-8.5689766117070867E-2</v>
      </c>
      <c r="AE60" s="262">
        <v>241135389</v>
      </c>
      <c r="AF60" s="1">
        <f t="shared" si="42"/>
        <v>-0.17449274366649933</v>
      </c>
      <c r="AG60" s="262">
        <v>221828417</v>
      </c>
      <c r="AH60" s="1">
        <f t="shared" si="43"/>
        <v>-8.0066937001934624E-2</v>
      </c>
      <c r="AI60" s="262">
        <v>214921461</v>
      </c>
      <c r="AJ60" s="1">
        <f t="shared" si="44"/>
        <v>-3.1136479687361246E-2</v>
      </c>
      <c r="AK60" s="262">
        <v>185271216</v>
      </c>
      <c r="AL60" s="1">
        <f t="shared" si="45"/>
        <v>-0.13795851220274369</v>
      </c>
      <c r="AM60" s="262">
        <v>212170099</v>
      </c>
      <c r="AN60" s="1">
        <f t="shared" si="46"/>
        <v>0.14518651942134389</v>
      </c>
      <c r="AO60" s="262">
        <v>231123563</v>
      </c>
      <c r="AP60" s="1">
        <f t="shared" si="47"/>
        <v>8.9331456644133445E-2</v>
      </c>
    </row>
    <row r="61" spans="1:42" x14ac:dyDescent="0.2">
      <c r="A61" s="3" t="s">
        <v>66</v>
      </c>
      <c r="B61" s="320">
        <f t="shared" si="32"/>
        <v>-1.4909283406454806E-2</v>
      </c>
      <c r="C61" s="320"/>
      <c r="D61" s="5">
        <v>38590149</v>
      </c>
      <c r="E61" s="5">
        <v>43040636</v>
      </c>
      <c r="F61" s="1">
        <f t="shared" si="33"/>
        <v>0.11532702296640523</v>
      </c>
      <c r="G61" s="5">
        <v>47508476</v>
      </c>
      <c r="H61" s="1">
        <f t="shared" si="48"/>
        <v>0.10380515752601797</v>
      </c>
      <c r="I61" s="236">
        <v>52616769</v>
      </c>
      <c r="J61" s="1">
        <f t="shared" si="34"/>
        <v>0.10752382374884011</v>
      </c>
      <c r="K61" s="5">
        <v>63898121</v>
      </c>
      <c r="L61" s="1">
        <f t="shared" si="35"/>
        <v>0.21440601949541979</v>
      </c>
      <c r="M61" s="5">
        <v>67905930.333333343</v>
      </c>
      <c r="N61" s="1">
        <f t="shared" si="36"/>
        <v>6.2721865222505419E-2</v>
      </c>
      <c r="O61" s="236">
        <v>73353307.333333343</v>
      </c>
      <c r="P61" s="1">
        <f t="shared" si="37"/>
        <v>8.0219459084945599E-2</v>
      </c>
      <c r="Q61" s="236">
        <v>84403891.333334133</v>
      </c>
      <c r="R61" s="1">
        <f t="shared" si="37"/>
        <v>0.1506487492075107</v>
      </c>
      <c r="S61" s="236">
        <v>89795885</v>
      </c>
      <c r="T61" s="1">
        <f t="shared" si="37"/>
        <v>6.3883235494100674E-2</v>
      </c>
      <c r="U61" s="262">
        <v>114571560</v>
      </c>
      <c r="V61" s="1">
        <f t="shared" si="38"/>
        <v>0.27591102866239359</v>
      </c>
      <c r="W61" s="262">
        <v>128405817</v>
      </c>
      <c r="X61" s="1">
        <f t="shared" si="39"/>
        <v>0.12074774053875151</v>
      </c>
      <c r="Y61" s="262">
        <v>151340213</v>
      </c>
      <c r="Z61" s="1">
        <f t="shared" si="39"/>
        <v>0.17860869963546902</v>
      </c>
      <c r="AA61" s="262">
        <v>154000308</v>
      </c>
      <c r="AB61" s="1">
        <f t="shared" si="40"/>
        <v>1.7576921211284405E-2</v>
      </c>
      <c r="AC61" s="262">
        <v>141316284</v>
      </c>
      <c r="AD61" s="1">
        <f t="shared" si="41"/>
        <v>-8.2363627480537244E-2</v>
      </c>
      <c r="AE61" s="262">
        <v>122378388</v>
      </c>
      <c r="AF61" s="1">
        <f t="shared" si="42"/>
        <v>-0.1340107131602753</v>
      </c>
      <c r="AG61" s="262">
        <v>112733170</v>
      </c>
      <c r="AH61" s="1">
        <f t="shared" si="43"/>
        <v>-7.8814716859973669E-2</v>
      </c>
      <c r="AI61" s="262">
        <v>103141930</v>
      </c>
      <c r="AJ61" s="1">
        <f t="shared" si="44"/>
        <v>-8.5079129771654605E-2</v>
      </c>
      <c r="AK61" s="262">
        <v>94750635</v>
      </c>
      <c r="AL61" s="1">
        <f t="shared" si="45"/>
        <v>-8.13567770159042E-2</v>
      </c>
      <c r="AM61" s="262">
        <v>108006768</v>
      </c>
      <c r="AN61" s="1">
        <f t="shared" si="46"/>
        <v>0.13990547926143188</v>
      </c>
      <c r="AO61" s="262">
        <v>111333239</v>
      </c>
      <c r="AP61" s="1">
        <f t="shared" si="47"/>
        <v>3.0798727353826567E-2</v>
      </c>
    </row>
    <row r="62" spans="1:42" x14ac:dyDescent="0.2">
      <c r="A62" s="3" t="s">
        <v>67</v>
      </c>
      <c r="B62" s="320">
        <f t="shared" si="32"/>
        <v>-1.3537660283096104E-2</v>
      </c>
      <c r="C62" s="320"/>
      <c r="D62" s="5">
        <v>105655687</v>
      </c>
      <c r="E62" s="5">
        <v>116500640</v>
      </c>
      <c r="F62" s="1">
        <f t="shared" si="33"/>
        <v>0.10264429022168962</v>
      </c>
      <c r="G62" s="5">
        <v>115602011</v>
      </c>
      <c r="H62" s="1">
        <f t="shared" si="48"/>
        <v>-7.713511273414464E-3</v>
      </c>
      <c r="I62" s="236">
        <v>117704767</v>
      </c>
      <c r="J62" s="1">
        <f t="shared" si="34"/>
        <v>1.8189614365791612E-2</v>
      </c>
      <c r="K62" s="5">
        <v>118098847</v>
      </c>
      <c r="L62" s="1">
        <f t="shared" si="35"/>
        <v>3.34803772221052E-3</v>
      </c>
      <c r="M62" s="5">
        <v>118938461</v>
      </c>
      <c r="N62" s="1">
        <f t="shared" si="36"/>
        <v>7.1094174187830974E-3</v>
      </c>
      <c r="O62" s="236">
        <v>141216405</v>
      </c>
      <c r="P62" s="1">
        <f t="shared" si="37"/>
        <v>0.18730647607757428</v>
      </c>
      <c r="Q62" s="236">
        <v>140861187.33333755</v>
      </c>
      <c r="R62" s="1">
        <f t="shared" si="37"/>
        <v>-2.5154136069563209E-3</v>
      </c>
      <c r="S62" s="236">
        <v>142666799</v>
      </c>
      <c r="T62" s="1">
        <f t="shared" si="37"/>
        <v>1.2818376025679867E-2</v>
      </c>
      <c r="U62" s="262">
        <v>169078955</v>
      </c>
      <c r="V62" s="1">
        <f t="shared" si="38"/>
        <v>0.18513176285675267</v>
      </c>
      <c r="W62" s="262">
        <v>243427622</v>
      </c>
      <c r="X62" s="1">
        <f t="shared" si="39"/>
        <v>0.43972750482163792</v>
      </c>
      <c r="Y62" s="262">
        <v>265490818</v>
      </c>
      <c r="Z62" s="1">
        <f t="shared" si="39"/>
        <v>9.0635548335595215E-2</v>
      </c>
      <c r="AA62" s="262">
        <v>271143471</v>
      </c>
      <c r="AB62" s="1">
        <f t="shared" si="40"/>
        <v>2.1291331438814582E-2</v>
      </c>
      <c r="AC62" s="262">
        <v>271694844</v>
      </c>
      <c r="AD62" s="1">
        <f t="shared" si="41"/>
        <v>2.0335101485810807E-3</v>
      </c>
      <c r="AE62" s="262">
        <v>249898307</v>
      </c>
      <c r="AF62" s="1">
        <f t="shared" si="42"/>
        <v>-8.0224330646480727E-2</v>
      </c>
      <c r="AG62" s="262">
        <v>226646518</v>
      </c>
      <c r="AH62" s="1">
        <f t="shared" si="43"/>
        <v>-9.3045004102408749E-2</v>
      </c>
      <c r="AI62" s="262">
        <v>218612587</v>
      </c>
      <c r="AJ62" s="1">
        <f t="shared" si="44"/>
        <v>-3.5446964157640398E-2</v>
      </c>
      <c r="AK62" s="262">
        <v>212824870</v>
      </c>
      <c r="AL62" s="1">
        <f t="shared" si="45"/>
        <v>-2.64747656089903E-2</v>
      </c>
      <c r="AM62" s="262">
        <v>224178123</v>
      </c>
      <c r="AN62" s="1">
        <f t="shared" si="46"/>
        <v>5.3345518312779894E-2</v>
      </c>
      <c r="AO62" s="262">
        <v>231785140</v>
      </c>
      <c r="AP62" s="1">
        <f t="shared" si="47"/>
        <v>3.3932914140779029E-2</v>
      </c>
    </row>
    <row r="63" spans="1:42" x14ac:dyDescent="0.2">
      <c r="A63" s="3" t="s">
        <v>68</v>
      </c>
      <c r="B63" s="320">
        <f t="shared" si="32"/>
        <v>-1.5626970736141912E-2</v>
      </c>
      <c r="C63" s="320"/>
      <c r="D63" s="5">
        <v>9034552</v>
      </c>
      <c r="E63" s="5">
        <v>9004143</v>
      </c>
      <c r="F63" s="1">
        <f t="shared" si="33"/>
        <v>-3.3658558830587282E-3</v>
      </c>
      <c r="G63" s="5">
        <v>9027514</v>
      </c>
      <c r="H63" s="1">
        <f t="shared" si="48"/>
        <v>2.5955829444290258E-3</v>
      </c>
      <c r="I63" s="236">
        <v>9346229</v>
      </c>
      <c r="J63" s="1">
        <f t="shared" si="34"/>
        <v>3.5304846937927764E-2</v>
      </c>
      <c r="K63" s="5">
        <v>9347775</v>
      </c>
      <c r="L63" s="1">
        <f t="shared" si="35"/>
        <v>1.6541430773844723E-4</v>
      </c>
      <c r="M63" s="5">
        <v>12143631</v>
      </c>
      <c r="N63" s="1">
        <f t="shared" si="36"/>
        <v>0.29909320667217598</v>
      </c>
      <c r="O63" s="236">
        <v>12288228.333333334</v>
      </c>
      <c r="P63" s="1">
        <f t="shared" si="37"/>
        <v>1.1907256843800174E-2</v>
      </c>
      <c r="Q63" s="236">
        <v>11975825.666667666</v>
      </c>
      <c r="R63" s="1">
        <f t="shared" si="37"/>
        <v>-2.5422921693132681E-2</v>
      </c>
      <c r="S63" s="236">
        <v>12921958.333333334</v>
      </c>
      <c r="T63" s="1">
        <f t="shared" si="37"/>
        <v>7.900354372217025E-2</v>
      </c>
      <c r="U63" s="262">
        <v>17849085</v>
      </c>
      <c r="V63" s="1">
        <f t="shared" si="38"/>
        <v>0.38129875825065207</v>
      </c>
      <c r="W63" s="262">
        <v>25389328</v>
      </c>
      <c r="X63" s="1">
        <f t="shared" si="39"/>
        <v>0.42244423173512818</v>
      </c>
      <c r="Y63" s="262">
        <v>25056414</v>
      </c>
      <c r="Z63" s="1">
        <f t="shared" si="39"/>
        <v>-1.3112359649692186E-2</v>
      </c>
      <c r="AA63" s="262">
        <v>25912230</v>
      </c>
      <c r="AB63" s="1">
        <f t="shared" si="40"/>
        <v>3.4155565916176196E-2</v>
      </c>
      <c r="AC63" s="262">
        <v>28181579</v>
      </c>
      <c r="AD63" s="1">
        <f t="shared" si="41"/>
        <v>8.7578297969723176E-2</v>
      </c>
      <c r="AE63" s="262">
        <v>27805034</v>
      </c>
      <c r="AF63" s="1">
        <f t="shared" si="42"/>
        <v>-1.3361387592937925E-2</v>
      </c>
      <c r="AG63" s="262">
        <v>24378433</v>
      </c>
      <c r="AH63" s="1">
        <f t="shared" si="43"/>
        <v>-0.12323671317934731</v>
      </c>
      <c r="AI63" s="262">
        <v>24135119</v>
      </c>
      <c r="AJ63" s="1">
        <f t="shared" si="44"/>
        <v>-9.9807071274843635E-3</v>
      </c>
      <c r="AK63" s="262">
        <v>24536759</v>
      </c>
      <c r="AL63" s="1">
        <f t="shared" si="45"/>
        <v>1.6641310117426807E-2</v>
      </c>
      <c r="AM63" s="262">
        <v>25105757</v>
      </c>
      <c r="AN63" s="1">
        <f t="shared" si="46"/>
        <v>2.3189615221798444E-2</v>
      </c>
      <c r="AO63" s="262">
        <v>25488661</v>
      </c>
      <c r="AP63" s="1">
        <f t="shared" si="47"/>
        <v>1.5251641286896865E-2</v>
      </c>
    </row>
    <row r="64" spans="1:42" x14ac:dyDescent="0.2">
      <c r="A64" s="3" t="s">
        <v>69</v>
      </c>
      <c r="B64" s="320">
        <f t="shared" si="32"/>
        <v>8.2527667033837628E-4</v>
      </c>
      <c r="C64" s="320"/>
      <c r="D64" s="5">
        <v>2395287</v>
      </c>
      <c r="E64" s="5">
        <v>2380764</v>
      </c>
      <c r="F64" s="1">
        <f t="shared" si="33"/>
        <v>-6.0631565236232655E-3</v>
      </c>
      <c r="G64" s="5">
        <v>2378881</v>
      </c>
      <c r="H64" s="1">
        <f t="shared" si="48"/>
        <v>-7.9092257779435511E-4</v>
      </c>
      <c r="I64" s="236">
        <v>2371958</v>
      </c>
      <c r="J64" s="1">
        <f t="shared" si="34"/>
        <v>-2.9101918086697066E-3</v>
      </c>
      <c r="K64" s="5">
        <v>2383051</v>
      </c>
      <c r="L64" s="1">
        <f t="shared" si="35"/>
        <v>4.6767269909500928E-3</v>
      </c>
      <c r="M64" s="5">
        <v>3626251</v>
      </c>
      <c r="N64" s="1">
        <f t="shared" si="36"/>
        <v>0.52168417713259174</v>
      </c>
      <c r="O64" s="236">
        <v>3645366</v>
      </c>
      <c r="P64" s="1">
        <f t="shared" si="37"/>
        <v>5.2712843098836788E-3</v>
      </c>
      <c r="Q64" s="236">
        <v>3622543.0000009998</v>
      </c>
      <c r="R64" s="1">
        <f t="shared" si="37"/>
        <v>-6.2608253873548568E-3</v>
      </c>
      <c r="S64" s="236">
        <v>3627457</v>
      </c>
      <c r="T64" s="1">
        <f t="shared" si="37"/>
        <v>1.3565056367857797E-3</v>
      </c>
      <c r="U64" s="262">
        <v>4555645</v>
      </c>
      <c r="V64" s="1">
        <f t="shared" si="38"/>
        <v>0.25587842943417388</v>
      </c>
      <c r="W64" s="262">
        <v>6926201</v>
      </c>
      <c r="X64" s="1">
        <f t="shared" si="39"/>
        <v>0.52035573447887185</v>
      </c>
      <c r="Y64" s="262">
        <v>6980452</v>
      </c>
      <c r="Z64" s="1">
        <f t="shared" si="39"/>
        <v>7.8327209966906827E-3</v>
      </c>
      <c r="AA64" s="262">
        <v>7035909</v>
      </c>
      <c r="AB64" s="1">
        <f t="shared" si="40"/>
        <v>7.9446144748219743E-3</v>
      </c>
      <c r="AC64" s="262">
        <v>7071697</v>
      </c>
      <c r="AD64" s="1">
        <f t="shared" si="41"/>
        <v>5.0864785204015571E-3</v>
      </c>
      <c r="AE64" s="262">
        <v>7036211</v>
      </c>
      <c r="AF64" s="1">
        <f t="shared" si="42"/>
        <v>-5.0180317397648683E-3</v>
      </c>
      <c r="AG64" s="262">
        <v>6405229</v>
      </c>
      <c r="AH64" s="1">
        <f t="shared" si="43"/>
        <v>-8.9676389750108401E-2</v>
      </c>
      <c r="AI64" s="262">
        <v>6358991</v>
      </c>
      <c r="AJ64" s="1">
        <f t="shared" si="44"/>
        <v>-7.2187895233722325E-3</v>
      </c>
      <c r="AK64" s="262">
        <v>6785641</v>
      </c>
      <c r="AL64" s="1">
        <f t="shared" si="45"/>
        <v>6.7093977645195604E-2</v>
      </c>
      <c r="AM64" s="262">
        <v>6948933</v>
      </c>
      <c r="AN64" s="1">
        <f t="shared" si="46"/>
        <v>2.4064344105442656E-2</v>
      </c>
      <c r="AO64" s="262">
        <v>7017472</v>
      </c>
      <c r="AP64" s="1">
        <f t="shared" si="47"/>
        <v>9.8632408745342633E-3</v>
      </c>
    </row>
    <row r="65" spans="1:42" x14ac:dyDescent="0.2">
      <c r="A65" s="3" t="s">
        <v>70</v>
      </c>
      <c r="B65" s="320">
        <f t="shared" si="32"/>
        <v>-3.698949481862783E-2</v>
      </c>
      <c r="C65" s="320"/>
      <c r="D65" s="5">
        <v>9522709</v>
      </c>
      <c r="E65" s="5">
        <v>9620389</v>
      </c>
      <c r="F65" s="1">
        <f t="shared" si="33"/>
        <v>1.0257585315271106E-2</v>
      </c>
      <c r="G65" s="5">
        <v>9643916</v>
      </c>
      <c r="H65" s="1">
        <f t="shared" si="48"/>
        <v>2.4455352065285512E-3</v>
      </c>
      <c r="I65" s="236">
        <v>9870683</v>
      </c>
      <c r="J65" s="1">
        <f t="shared" si="34"/>
        <v>2.3513995766864828E-2</v>
      </c>
      <c r="K65" s="5">
        <v>9972449</v>
      </c>
      <c r="L65" s="1">
        <f t="shared" si="35"/>
        <v>1.0309924855250644E-2</v>
      </c>
      <c r="M65" s="5">
        <v>15925116</v>
      </c>
      <c r="N65" s="1">
        <f t="shared" si="36"/>
        <v>0.59691125018538571</v>
      </c>
      <c r="O65" s="236">
        <v>16021812</v>
      </c>
      <c r="P65" s="1">
        <f t="shared" si="37"/>
        <v>6.0719180946625442E-3</v>
      </c>
      <c r="Q65" s="236">
        <v>15925080.000001</v>
      </c>
      <c r="R65" s="1">
        <f t="shared" si="37"/>
        <v>-6.0375193516813055E-3</v>
      </c>
      <c r="S65" s="236">
        <v>16011739.333333334</v>
      </c>
      <c r="T65" s="1">
        <f t="shared" si="37"/>
        <v>5.4416890422106685E-3</v>
      </c>
      <c r="U65" s="262">
        <v>23904669</v>
      </c>
      <c r="V65" s="1">
        <f t="shared" si="38"/>
        <v>0.49294642526656163</v>
      </c>
      <c r="W65" s="262">
        <v>41885250</v>
      </c>
      <c r="X65" s="1">
        <f t="shared" si="39"/>
        <v>0.75217862251094125</v>
      </c>
      <c r="Y65" s="262">
        <v>42235334</v>
      </c>
      <c r="Z65" s="1">
        <f t="shared" si="39"/>
        <v>8.358169045188938E-3</v>
      </c>
      <c r="AA65" s="262">
        <v>42547050</v>
      </c>
      <c r="AB65" s="1">
        <f t="shared" si="40"/>
        <v>7.3804554262551824E-3</v>
      </c>
      <c r="AC65" s="262">
        <v>42661447</v>
      </c>
      <c r="AD65" s="1">
        <f t="shared" si="41"/>
        <v>2.6887175491602825E-3</v>
      </c>
      <c r="AE65" s="262">
        <v>43191390</v>
      </c>
      <c r="AF65" s="1">
        <f t="shared" si="42"/>
        <v>1.2422058726700011E-2</v>
      </c>
      <c r="AG65" s="262">
        <v>36123302</v>
      </c>
      <c r="AH65" s="1">
        <f t="shared" si="43"/>
        <v>-0.16364576365798833</v>
      </c>
      <c r="AI65" s="262">
        <v>33602146</v>
      </c>
      <c r="AJ65" s="1">
        <f t="shared" si="44"/>
        <v>-6.979306598272772E-2</v>
      </c>
      <c r="AK65" s="262">
        <v>33833869</v>
      </c>
      <c r="AL65" s="1">
        <f t="shared" si="45"/>
        <v>6.8960774112462936E-3</v>
      </c>
      <c r="AM65" s="262">
        <v>34939801</v>
      </c>
      <c r="AN65" s="1">
        <f t="shared" si="46"/>
        <v>3.2687127800843589E-2</v>
      </c>
      <c r="AO65" s="262">
        <v>35251050</v>
      </c>
      <c r="AP65" s="1">
        <f t="shared" si="47"/>
        <v>8.9081503354870289E-3</v>
      </c>
    </row>
    <row r="66" spans="1:42" x14ac:dyDescent="0.2">
      <c r="A66" s="3" t="s">
        <v>140</v>
      </c>
      <c r="B66" s="320">
        <f t="shared" si="32"/>
        <v>5.5064943290644127E-3</v>
      </c>
      <c r="C66" s="320"/>
      <c r="D66" s="5">
        <v>134818369</v>
      </c>
      <c r="E66" s="5">
        <v>146660958</v>
      </c>
      <c r="F66" s="1">
        <f t="shared" si="33"/>
        <v>8.7841064150538717E-2</v>
      </c>
      <c r="G66" s="5">
        <v>160472330</v>
      </c>
      <c r="H66" s="1">
        <f t="shared" si="48"/>
        <v>9.4172110889934324E-2</v>
      </c>
      <c r="I66" s="236">
        <v>167947577</v>
      </c>
      <c r="J66" s="1">
        <f t="shared" si="34"/>
        <v>4.6582778476513674E-2</v>
      </c>
      <c r="K66" s="5">
        <v>182876818</v>
      </c>
      <c r="L66" s="1">
        <f t="shared" si="35"/>
        <v>8.8892267853319495E-2</v>
      </c>
      <c r="M66" s="5">
        <v>187544470</v>
      </c>
      <c r="N66" s="1">
        <f t="shared" si="36"/>
        <v>2.5523475588907066E-2</v>
      </c>
      <c r="O66" s="236">
        <v>200182479</v>
      </c>
      <c r="P66" s="1">
        <f t="shared" ref="P66:T76" si="49">SUM((O66-M66)/M66)</f>
        <v>6.7386732330737345E-2</v>
      </c>
      <c r="Q66" s="236">
        <v>226447888.00000077</v>
      </c>
      <c r="R66" s="1">
        <f t="shared" si="49"/>
        <v>0.13120733208624505</v>
      </c>
      <c r="S66" s="236">
        <v>239565034.33333334</v>
      </c>
      <c r="T66" s="1">
        <f t="shared" si="49"/>
        <v>5.7925673094961799E-2</v>
      </c>
      <c r="U66" s="262">
        <v>269737965</v>
      </c>
      <c r="V66" s="1">
        <f t="shared" si="38"/>
        <v>0.12594880864243202</v>
      </c>
      <c r="W66" s="262">
        <v>337056272</v>
      </c>
      <c r="X66" s="1">
        <f t="shared" ref="X66:Z76" si="50">SUM((W66-U66)/U66)</f>
        <v>0.24956926993943918</v>
      </c>
      <c r="Y66" s="262">
        <v>384579151</v>
      </c>
      <c r="Z66" s="1">
        <f t="shared" si="50"/>
        <v>0.14099390205087178</v>
      </c>
      <c r="AA66" s="262">
        <v>412530041</v>
      </c>
      <c r="AB66" s="1">
        <f t="shared" si="40"/>
        <v>7.2679160914783963E-2</v>
      </c>
      <c r="AC66" s="262">
        <v>402149046</v>
      </c>
      <c r="AD66" s="1">
        <f t="shared" si="41"/>
        <v>-2.51642158588882E-2</v>
      </c>
      <c r="AE66" s="262">
        <v>331316376</v>
      </c>
      <c r="AF66" s="1">
        <f t="shared" si="42"/>
        <v>-0.17613536748263231</v>
      </c>
      <c r="AG66" s="262">
        <v>301972463</v>
      </c>
      <c r="AH66" s="1">
        <f t="shared" si="43"/>
        <v>-8.8567650516616789E-2</v>
      </c>
      <c r="AI66" s="262">
        <v>292532125</v>
      </c>
      <c r="AJ66" s="1">
        <f t="shared" si="44"/>
        <v>-3.126224790900884E-2</v>
      </c>
      <c r="AK66" s="262">
        <v>278813339</v>
      </c>
      <c r="AL66" s="1">
        <f t="shared" si="45"/>
        <v>-4.6896681860154672E-2</v>
      </c>
      <c r="AM66" s="262">
        <v>305846194</v>
      </c>
      <c r="AN66" s="1">
        <f t="shared" si="46"/>
        <v>9.6956820993417389E-2</v>
      </c>
      <c r="AO66" s="262">
        <v>335605711</v>
      </c>
      <c r="AP66" s="1">
        <f t="shared" si="47"/>
        <v>9.7302230937684975E-2</v>
      </c>
    </row>
    <row r="67" spans="1:42" x14ac:dyDescent="0.2">
      <c r="A67" s="3" t="s">
        <v>71</v>
      </c>
      <c r="B67" s="320">
        <f t="shared" si="32"/>
        <v>-1.4041227291990765E-2</v>
      </c>
      <c r="C67" s="320"/>
      <c r="D67" s="5">
        <v>9359950</v>
      </c>
      <c r="E67" s="5">
        <v>9306120</v>
      </c>
      <c r="F67" s="1">
        <f t="shared" si="33"/>
        <v>-5.7510990977515906E-3</v>
      </c>
      <c r="G67" s="5">
        <v>8916896</v>
      </c>
      <c r="H67" s="1">
        <f t="shared" si="48"/>
        <v>-4.1824519778382398E-2</v>
      </c>
      <c r="I67" s="236">
        <v>9031177</v>
      </c>
      <c r="J67" s="1">
        <f t="shared" si="34"/>
        <v>1.2816231118990285E-2</v>
      </c>
      <c r="K67" s="5">
        <v>9015330</v>
      </c>
      <c r="L67" s="1">
        <f t="shared" si="35"/>
        <v>-1.7546993044206753E-3</v>
      </c>
      <c r="M67" s="5">
        <v>8594408</v>
      </c>
      <c r="N67" s="1">
        <f t="shared" si="36"/>
        <v>-4.6689583187747984E-2</v>
      </c>
      <c r="O67" s="236">
        <v>8363203</v>
      </c>
      <c r="P67" s="1">
        <f t="shared" si="49"/>
        <v>-2.6901794748399193E-2</v>
      </c>
      <c r="Q67" s="236">
        <v>8293159.0000010002</v>
      </c>
      <c r="R67" s="1">
        <f t="shared" si="49"/>
        <v>-8.3752600527572697E-3</v>
      </c>
      <c r="S67" s="236">
        <v>7615250</v>
      </c>
      <c r="T67" s="1">
        <f t="shared" si="49"/>
        <v>-8.1743157221623078E-2</v>
      </c>
      <c r="U67" s="262">
        <v>9274292</v>
      </c>
      <c r="V67" s="1">
        <f t="shared" si="38"/>
        <v>0.21785785102261909</v>
      </c>
      <c r="W67" s="262">
        <v>12596057</v>
      </c>
      <c r="X67" s="1">
        <f t="shared" si="50"/>
        <v>0.35816911954033798</v>
      </c>
      <c r="Y67" s="262">
        <v>12661364</v>
      </c>
      <c r="Z67" s="1">
        <f t="shared" si="50"/>
        <v>5.1847177255549097E-3</v>
      </c>
      <c r="AA67" s="262">
        <v>12844792</v>
      </c>
      <c r="AB67" s="1">
        <f t="shared" si="40"/>
        <v>1.4487222703651834E-2</v>
      </c>
      <c r="AC67" s="262">
        <v>12757471</v>
      </c>
      <c r="AD67" s="1">
        <f t="shared" si="41"/>
        <v>-6.7981638005504491E-3</v>
      </c>
      <c r="AE67" s="262">
        <v>10708416</v>
      </c>
      <c r="AF67" s="1">
        <f t="shared" si="42"/>
        <v>-0.16061608135342811</v>
      </c>
      <c r="AG67" s="262">
        <v>10363615</v>
      </c>
      <c r="AH67" s="1">
        <f t="shared" si="43"/>
        <v>-3.2199066603314626E-2</v>
      </c>
      <c r="AI67" s="262">
        <v>9941923</v>
      </c>
      <c r="AJ67" s="1">
        <f t="shared" si="44"/>
        <v>-4.0689662825182139E-2</v>
      </c>
      <c r="AK67" s="262">
        <v>9320818</v>
      </c>
      <c r="AL67" s="1">
        <f t="shared" si="45"/>
        <v>-6.2473326337369538E-2</v>
      </c>
      <c r="AM67" s="262">
        <v>9516883</v>
      </c>
      <c r="AN67" s="1">
        <f t="shared" si="46"/>
        <v>2.1035170947442595E-2</v>
      </c>
      <c r="AO67" s="262">
        <v>9936775</v>
      </c>
      <c r="AP67" s="1">
        <f t="shared" si="47"/>
        <v>4.4120748358469887E-2</v>
      </c>
    </row>
    <row r="68" spans="1:42" x14ac:dyDescent="0.2">
      <c r="A68" s="3" t="s">
        <v>72</v>
      </c>
      <c r="B68" s="320">
        <f t="shared" si="32"/>
        <v>-1.1917715655938368E-2</v>
      </c>
      <c r="C68" s="320"/>
      <c r="D68" s="5">
        <v>39297233</v>
      </c>
      <c r="E68" s="5">
        <v>39347739</v>
      </c>
      <c r="F68" s="1">
        <f t="shared" si="33"/>
        <v>1.2852304384891424E-3</v>
      </c>
      <c r="G68" s="5">
        <v>40479816</v>
      </c>
      <c r="H68" s="1">
        <f t="shared" si="48"/>
        <v>2.8771081357431998E-2</v>
      </c>
      <c r="I68" s="236">
        <v>43355967</v>
      </c>
      <c r="J68" s="1">
        <f t="shared" si="34"/>
        <v>7.1051484028484713E-2</v>
      </c>
      <c r="K68" s="5">
        <v>46658296</v>
      </c>
      <c r="L68" s="1">
        <f t="shared" si="35"/>
        <v>7.6167808689401387E-2</v>
      </c>
      <c r="M68" s="5">
        <v>59590240.666666664</v>
      </c>
      <c r="N68" s="1">
        <f t="shared" si="36"/>
        <v>0.27716281509008955</v>
      </c>
      <c r="O68" s="236">
        <v>61863375.333333336</v>
      </c>
      <c r="P68" s="1">
        <f t="shared" si="49"/>
        <v>3.8146089715965989E-2</v>
      </c>
      <c r="Q68" s="236">
        <v>63832698.000000797</v>
      </c>
      <c r="R68" s="1">
        <f t="shared" si="49"/>
        <v>3.1833417689486262E-2</v>
      </c>
      <c r="S68" s="236">
        <v>69191041</v>
      </c>
      <c r="T68" s="1">
        <f t="shared" si="49"/>
        <v>8.3943545673083347E-2</v>
      </c>
      <c r="U68" s="262">
        <v>87056930</v>
      </c>
      <c r="V68" s="1">
        <f t="shared" si="38"/>
        <v>0.25821101607648889</v>
      </c>
      <c r="W68" s="262">
        <v>113896755</v>
      </c>
      <c r="X68" s="1">
        <f t="shared" si="50"/>
        <v>0.30830199273050407</v>
      </c>
      <c r="Y68" s="262">
        <v>113647150</v>
      </c>
      <c r="Z68" s="1">
        <f t="shared" si="50"/>
        <v>-2.1915022952146441E-3</v>
      </c>
      <c r="AA68" s="262">
        <v>114099388</v>
      </c>
      <c r="AB68" s="1">
        <f t="shared" si="40"/>
        <v>3.9793166832604249E-3</v>
      </c>
      <c r="AC68" s="262">
        <v>114903287</v>
      </c>
      <c r="AD68" s="1">
        <f t="shared" si="41"/>
        <v>7.0456030842163675E-3</v>
      </c>
      <c r="AE68" s="262">
        <v>113987160</v>
      </c>
      <c r="AF68" s="1">
        <f t="shared" si="42"/>
        <v>-7.9730269161055415E-3</v>
      </c>
      <c r="AG68" s="262">
        <v>110432505</v>
      </c>
      <c r="AH68" s="1">
        <f t="shared" si="43"/>
        <v>-3.1184696592142482E-2</v>
      </c>
      <c r="AI68" s="262">
        <v>102839008</v>
      </c>
      <c r="AJ68" s="1">
        <f t="shared" si="44"/>
        <v>-6.8761430341546637E-2</v>
      </c>
      <c r="AK68" s="262">
        <v>102537952</v>
      </c>
      <c r="AL68" s="1">
        <f t="shared" si="45"/>
        <v>-2.9274494752030279E-3</v>
      </c>
      <c r="AM68" s="262">
        <v>105048615</v>
      </c>
      <c r="AN68" s="1">
        <f t="shared" si="46"/>
        <v>2.4485207194307919E-2</v>
      </c>
      <c r="AO68" s="262">
        <v>107023507</v>
      </c>
      <c r="AP68" s="1">
        <f t="shared" si="47"/>
        <v>1.8799790934892383E-2</v>
      </c>
    </row>
    <row r="69" spans="1:42" x14ac:dyDescent="0.2">
      <c r="A69" s="3" t="s">
        <v>104</v>
      </c>
      <c r="B69" s="320">
        <f t="shared" si="32"/>
        <v>0</v>
      </c>
      <c r="C69" s="320"/>
      <c r="D69" s="5">
        <v>80880710</v>
      </c>
      <c r="E69" s="5">
        <v>82728175</v>
      </c>
      <c r="F69" s="1">
        <f t="shared" si="33"/>
        <v>2.2841849434803427E-2</v>
      </c>
      <c r="G69" s="5">
        <v>90719929</v>
      </c>
      <c r="H69" s="1">
        <f t="shared" si="48"/>
        <v>9.6602566175308477E-2</v>
      </c>
      <c r="I69" s="236">
        <v>95298108</v>
      </c>
      <c r="J69" s="1">
        <f t="shared" si="34"/>
        <v>5.046497556231553E-2</v>
      </c>
      <c r="K69" s="5">
        <v>107843153</v>
      </c>
      <c r="L69" s="1">
        <f t="shared" si="35"/>
        <v>0.13164002164659974</v>
      </c>
      <c r="M69" s="5">
        <v>114165082</v>
      </c>
      <c r="N69" s="1">
        <f t="shared" si="36"/>
        <v>5.8621514895804278E-2</v>
      </c>
      <c r="O69" s="236">
        <v>120919451</v>
      </c>
      <c r="P69" s="1">
        <f t="shared" si="49"/>
        <v>5.9163177406555884E-2</v>
      </c>
      <c r="Q69" s="236">
        <v>145791444.00000739</v>
      </c>
      <c r="R69" s="1">
        <f t="shared" si="49"/>
        <v>0.20569058819169952</v>
      </c>
      <c r="S69" s="236">
        <v>167769013.66666669</v>
      </c>
      <c r="T69" s="1">
        <f t="shared" si="49"/>
        <v>0.15074663549294554</v>
      </c>
      <c r="U69" s="262">
        <v>227013947</v>
      </c>
      <c r="V69" s="1">
        <f t="shared" si="38"/>
        <v>0.35313394314306823</v>
      </c>
      <c r="W69" s="262">
        <v>242921328</v>
      </c>
      <c r="X69" s="1">
        <f t="shared" si="50"/>
        <v>7.0072263005056687E-2</v>
      </c>
      <c r="Y69" s="262">
        <v>270575881</v>
      </c>
      <c r="Z69" s="1">
        <f t="shared" si="50"/>
        <v>0.11384160142579164</v>
      </c>
      <c r="AA69" s="262">
        <v>288902721</v>
      </c>
      <c r="AB69" s="1">
        <f t="shared" si="40"/>
        <v>6.773271857146794E-2</v>
      </c>
      <c r="AC69" s="262">
        <v>0</v>
      </c>
      <c r="AD69" s="1"/>
      <c r="AE69" s="262">
        <v>0</v>
      </c>
      <c r="AF69" s="1"/>
      <c r="AG69" s="262">
        <v>0</v>
      </c>
      <c r="AH69" s="1"/>
      <c r="AI69" s="262">
        <v>0</v>
      </c>
      <c r="AJ69" s="1"/>
      <c r="AK69" s="262">
        <v>0</v>
      </c>
      <c r="AL69" s="1"/>
      <c r="AM69" s="262">
        <v>0</v>
      </c>
      <c r="AN69" s="1"/>
      <c r="AO69" s="262">
        <v>0</v>
      </c>
      <c r="AP69" s="1"/>
    </row>
    <row r="70" spans="1:42" x14ac:dyDescent="0.2">
      <c r="A70" s="3" t="s">
        <v>74</v>
      </c>
      <c r="B70" s="320">
        <f t="shared" si="32"/>
        <v>-3.4573110534203165E-2</v>
      </c>
      <c r="C70" s="320"/>
      <c r="D70" s="5">
        <v>26883988</v>
      </c>
      <c r="E70" s="5">
        <v>27217187</v>
      </c>
      <c r="F70" s="1">
        <f t="shared" si="33"/>
        <v>1.2393957325081383E-2</v>
      </c>
      <c r="G70" s="5">
        <v>28132286</v>
      </c>
      <c r="H70" s="1">
        <f t="shared" si="48"/>
        <v>3.3622100623403879E-2</v>
      </c>
      <c r="I70" s="236">
        <v>28614983</v>
      </c>
      <c r="J70" s="1">
        <f t="shared" si="34"/>
        <v>1.7158115056842518E-2</v>
      </c>
      <c r="K70" s="5">
        <v>28910704</v>
      </c>
      <c r="L70" s="1">
        <f t="shared" si="35"/>
        <v>1.0334481065391511E-2</v>
      </c>
      <c r="M70" s="5">
        <v>49828178.666666664</v>
      </c>
      <c r="N70" s="1">
        <f t="shared" si="36"/>
        <v>0.72352007293446274</v>
      </c>
      <c r="O70" s="236">
        <v>50676375.333333336</v>
      </c>
      <c r="P70" s="1">
        <f t="shared" si="49"/>
        <v>1.7022429664564201E-2</v>
      </c>
      <c r="Q70" s="236">
        <v>51763457.000000797</v>
      </c>
      <c r="R70" s="1">
        <f t="shared" si="49"/>
        <v>2.1451448717809404E-2</v>
      </c>
      <c r="S70" s="236">
        <v>51626801.666666664</v>
      </c>
      <c r="T70" s="1">
        <f t="shared" si="49"/>
        <v>-2.6399962686829617E-3</v>
      </c>
      <c r="U70" s="262">
        <v>73581529</v>
      </c>
      <c r="V70" s="1">
        <f t="shared" si="38"/>
        <v>0.42525832754634141</v>
      </c>
      <c r="W70" s="262">
        <v>91619238</v>
      </c>
      <c r="X70" s="1">
        <f t="shared" si="50"/>
        <v>0.2451390891863636</v>
      </c>
      <c r="Y70" s="262">
        <v>91916079</v>
      </c>
      <c r="Z70" s="1">
        <f t="shared" si="50"/>
        <v>3.239941812220704E-3</v>
      </c>
      <c r="AA70" s="262">
        <v>92562921</v>
      </c>
      <c r="AB70" s="1">
        <f t="shared" si="40"/>
        <v>7.0373106320168423E-3</v>
      </c>
      <c r="AC70" s="262">
        <v>92561421</v>
      </c>
      <c r="AD70" s="1">
        <f t="shared" si="41"/>
        <v>-1.6205193005955376E-5</v>
      </c>
      <c r="AE70" s="262">
        <v>87649293</v>
      </c>
      <c r="AF70" s="1">
        <f t="shared" ref="AF70:AF76" si="51">SUM((AE70-AC70)/AC70)</f>
        <v>-5.3068848197566028E-2</v>
      </c>
      <c r="AG70" s="262">
        <v>73577055</v>
      </c>
      <c r="AH70" s="1">
        <f t="shared" ref="AH70:AH76" si="52">SUM((AG70-AE70)/AE70)</f>
        <v>-0.16055164301211192</v>
      </c>
      <c r="AI70" s="262">
        <v>71139508</v>
      </c>
      <c r="AJ70" s="1">
        <f t="shared" ref="AJ70:AJ76" si="53">SUM((AI70-AG70)/AG70)</f>
        <v>-3.312917321847144E-2</v>
      </c>
      <c r="AK70" s="262">
        <v>70712859</v>
      </c>
      <c r="AL70" s="1">
        <f t="shared" ref="AL70:AL76" si="54">SUM((AK70-AI70)/AI70)</f>
        <v>-5.997356630580015E-3</v>
      </c>
      <c r="AM70" s="262">
        <v>71866527</v>
      </c>
      <c r="AN70" s="1">
        <f t="shared" ref="AN70:AN76" si="55">SUM((AM70-AK70)/AK70)</f>
        <v>1.6314826133673934E-2</v>
      </c>
      <c r="AO70" s="262">
        <v>72620967</v>
      </c>
      <c r="AP70" s="1">
        <f t="shared" si="47"/>
        <v>1.0497794056473607E-2</v>
      </c>
    </row>
    <row r="71" spans="1:42" x14ac:dyDescent="0.2">
      <c r="A71" s="3" t="s">
        <v>141</v>
      </c>
      <c r="B71" s="320">
        <f t="shared" si="32"/>
        <v>-2.6732043577884546E-2</v>
      </c>
      <c r="C71" s="320"/>
      <c r="D71" s="5">
        <v>557721709</v>
      </c>
      <c r="E71" s="5">
        <v>565622044</v>
      </c>
      <c r="F71" s="1">
        <f t="shared" si="33"/>
        <v>1.4165371138529592E-2</v>
      </c>
      <c r="G71" s="5">
        <v>566497898</v>
      </c>
      <c r="H71" s="1">
        <f t="shared" si="48"/>
        <v>1.5484792526933408E-3</v>
      </c>
      <c r="I71" s="236">
        <v>575939874</v>
      </c>
      <c r="J71" s="1">
        <f t="shared" si="34"/>
        <v>1.6667274553594194E-2</v>
      </c>
      <c r="K71" s="5">
        <v>588250633</v>
      </c>
      <c r="L71" s="1">
        <f t="shared" si="35"/>
        <v>2.1375076732402104E-2</v>
      </c>
      <c r="M71" s="5">
        <v>721465592</v>
      </c>
      <c r="N71" s="1">
        <f t="shared" si="36"/>
        <v>0.22645952511877704</v>
      </c>
      <c r="O71" s="236">
        <v>744240979.33333337</v>
      </c>
      <c r="P71" s="1">
        <f t="shared" si="49"/>
        <v>3.1568223884658068E-2</v>
      </c>
      <c r="Q71" s="236">
        <v>744134389.66668439</v>
      </c>
      <c r="R71" s="1">
        <f t="shared" si="49"/>
        <v>-1.4321929268724693E-4</v>
      </c>
      <c r="S71" s="236">
        <v>758819854</v>
      </c>
      <c r="T71" s="1">
        <f t="shared" si="49"/>
        <v>1.9734962578323495E-2</v>
      </c>
      <c r="U71" s="262">
        <v>951016353</v>
      </c>
      <c r="V71" s="1">
        <f t="shared" si="38"/>
        <v>0.25328343477950171</v>
      </c>
      <c r="W71" s="262">
        <v>1275907668</v>
      </c>
      <c r="X71" s="1">
        <f t="shared" si="50"/>
        <v>0.34162537160914624</v>
      </c>
      <c r="Y71" s="262">
        <v>1303667071</v>
      </c>
      <c r="Z71" s="1">
        <f t="shared" si="50"/>
        <v>2.1756592343012707E-2</v>
      </c>
      <c r="AA71" s="262">
        <v>1318125892</v>
      </c>
      <c r="AB71" s="1">
        <f t="shared" si="40"/>
        <v>1.1090884568334701E-2</v>
      </c>
      <c r="AC71" s="262">
        <v>1313356480</v>
      </c>
      <c r="AD71" s="1">
        <f t="shared" si="41"/>
        <v>-3.6183281346240334E-3</v>
      </c>
      <c r="AE71" s="262">
        <v>1251810270</v>
      </c>
      <c r="AF71" s="1">
        <f t="shared" si="51"/>
        <v>-4.6861770537729407E-2</v>
      </c>
      <c r="AG71" s="262">
        <v>1163814553</v>
      </c>
      <c r="AH71" s="1">
        <f t="shared" si="52"/>
        <v>-7.0294771587071259E-2</v>
      </c>
      <c r="AI71" s="262">
        <v>1100714776</v>
      </c>
      <c r="AJ71" s="1">
        <f t="shared" si="53"/>
        <v>-5.4218068366086156E-2</v>
      </c>
      <c r="AK71" s="262">
        <v>1064943699</v>
      </c>
      <c r="AL71" s="1">
        <f t="shared" si="54"/>
        <v>-3.2498043798405409E-2</v>
      </c>
      <c r="AM71" s="262">
        <v>1097773417</v>
      </c>
      <c r="AN71" s="1">
        <f t="shared" si="55"/>
        <v>3.0827655988600766E-2</v>
      </c>
      <c r="AO71" s="262">
        <v>1089565376</v>
      </c>
      <c r="AP71" s="1">
        <f t="shared" si="47"/>
        <v>-7.4769901264606772E-3</v>
      </c>
    </row>
    <row r="72" spans="1:42" x14ac:dyDescent="0.2">
      <c r="A72" s="3" t="s">
        <v>142</v>
      </c>
      <c r="B72" s="320">
        <f t="shared" si="32"/>
        <v>-3.139255046851995E-2</v>
      </c>
      <c r="C72" s="320"/>
      <c r="D72" s="5">
        <v>201381726</v>
      </c>
      <c r="E72" s="5">
        <v>201794548</v>
      </c>
      <c r="F72" s="1">
        <f t="shared" si="33"/>
        <v>2.0499476700284115E-3</v>
      </c>
      <c r="G72" s="5">
        <v>201097647</v>
      </c>
      <c r="H72" s="1">
        <f t="shared" si="48"/>
        <v>-3.4535174855170022E-3</v>
      </c>
      <c r="I72" s="236">
        <v>206261044</v>
      </c>
      <c r="J72" s="1">
        <f t="shared" si="34"/>
        <v>2.567606870109226E-2</v>
      </c>
      <c r="K72" s="5">
        <v>209321934</v>
      </c>
      <c r="L72" s="1">
        <f t="shared" si="35"/>
        <v>1.4839884161548217E-2</v>
      </c>
      <c r="M72" s="5">
        <v>320010869.33333331</v>
      </c>
      <c r="N72" s="1">
        <f t="shared" si="36"/>
        <v>0.52879759525503578</v>
      </c>
      <c r="O72" s="236">
        <v>324523127.66666669</v>
      </c>
      <c r="P72" s="1">
        <f t="shared" si="49"/>
        <v>1.410032835051382E-2</v>
      </c>
      <c r="Q72" s="236">
        <v>324889988.00001782</v>
      </c>
      <c r="R72" s="1">
        <f t="shared" si="49"/>
        <v>1.130459748705353E-3</v>
      </c>
      <c r="S72" s="236">
        <v>328469459.33333331</v>
      </c>
      <c r="T72" s="1">
        <f t="shared" si="49"/>
        <v>1.1017487351180841E-2</v>
      </c>
      <c r="U72" s="262">
        <v>458913898</v>
      </c>
      <c r="V72" s="1">
        <f t="shared" si="38"/>
        <v>0.39712805851545141</v>
      </c>
      <c r="W72" s="262">
        <v>666054398</v>
      </c>
      <c r="X72" s="1">
        <f t="shared" si="50"/>
        <v>0.45137116331133648</v>
      </c>
      <c r="Y72" s="262">
        <v>668208332</v>
      </c>
      <c r="Z72" s="1">
        <f t="shared" si="50"/>
        <v>3.2338709968250971E-3</v>
      </c>
      <c r="AA72" s="262">
        <v>676416855</v>
      </c>
      <c r="AB72" s="1">
        <f t="shared" si="40"/>
        <v>1.2284376902980612E-2</v>
      </c>
      <c r="AC72" s="262">
        <v>686298710</v>
      </c>
      <c r="AD72" s="1">
        <f t="shared" si="41"/>
        <v>1.4609119993025603E-2</v>
      </c>
      <c r="AE72" s="262">
        <v>673820303</v>
      </c>
      <c r="AF72" s="1">
        <f t="shared" si="51"/>
        <v>-1.8182180467744141E-2</v>
      </c>
      <c r="AG72" s="262">
        <v>616971053</v>
      </c>
      <c r="AH72" s="1">
        <f t="shared" si="52"/>
        <v>-8.4368561984396004E-2</v>
      </c>
      <c r="AI72" s="262">
        <v>575822380</v>
      </c>
      <c r="AJ72" s="1">
        <f t="shared" si="53"/>
        <v>-6.6694657391000806E-2</v>
      </c>
      <c r="AK72" s="262">
        <v>547449739</v>
      </c>
      <c r="AL72" s="1">
        <f t="shared" si="54"/>
        <v>-4.9273251588449897E-2</v>
      </c>
      <c r="AM72" s="262">
        <v>559358655</v>
      </c>
      <c r="AN72" s="1">
        <f t="shared" si="55"/>
        <v>2.1753441734675846E-2</v>
      </c>
      <c r="AO72" s="262">
        <v>571452144</v>
      </c>
      <c r="AP72" s="1">
        <f t="shared" si="47"/>
        <v>2.1620276886571102E-2</v>
      </c>
    </row>
    <row r="73" spans="1:42" x14ac:dyDescent="0.2">
      <c r="A73" s="3" t="s">
        <v>76</v>
      </c>
      <c r="B73" s="320">
        <f t="shared" si="32"/>
        <v>-6.0492141934195186E-2</v>
      </c>
      <c r="C73" s="320"/>
      <c r="D73" s="5">
        <v>15902468</v>
      </c>
      <c r="E73" s="5">
        <v>16702847</v>
      </c>
      <c r="F73" s="1">
        <f t="shared" si="33"/>
        <v>5.0330489581868677E-2</v>
      </c>
      <c r="G73" s="5">
        <v>17438984</v>
      </c>
      <c r="H73" s="1">
        <f t="shared" si="48"/>
        <v>4.4072546434748519E-2</v>
      </c>
      <c r="I73" s="236">
        <v>17838697</v>
      </c>
      <c r="J73" s="1">
        <f t="shared" si="34"/>
        <v>2.292065868057451E-2</v>
      </c>
      <c r="K73" s="5">
        <v>17945204</v>
      </c>
      <c r="L73" s="1">
        <f t="shared" si="35"/>
        <v>5.9705593967989924E-3</v>
      </c>
      <c r="M73" s="5">
        <v>18028355</v>
      </c>
      <c r="N73" s="1">
        <f t="shared" si="36"/>
        <v>4.6336057255186398E-3</v>
      </c>
      <c r="O73" s="236">
        <v>18207917.333333332</v>
      </c>
      <c r="P73" s="1">
        <f t="shared" si="49"/>
        <v>9.9599954257242052E-3</v>
      </c>
      <c r="Q73" s="236">
        <v>19403353.000001002</v>
      </c>
      <c r="R73" s="1">
        <f t="shared" si="49"/>
        <v>6.5654717383804212E-2</v>
      </c>
      <c r="S73" s="236">
        <v>20109903</v>
      </c>
      <c r="T73" s="1">
        <f t="shared" si="49"/>
        <v>3.6413809510086291E-2</v>
      </c>
      <c r="U73" s="262">
        <v>23508818</v>
      </c>
      <c r="V73" s="1">
        <f t="shared" si="38"/>
        <v>0.16901697636234247</v>
      </c>
      <c r="W73" s="262">
        <v>34942501</v>
      </c>
      <c r="X73" s="1">
        <f t="shared" si="50"/>
        <v>0.48635720434774732</v>
      </c>
      <c r="Y73" s="262">
        <v>46853289</v>
      </c>
      <c r="Z73" s="1">
        <f t="shared" si="50"/>
        <v>0.34086821661677852</v>
      </c>
      <c r="AA73" s="262">
        <v>45397953</v>
      </c>
      <c r="AB73" s="1">
        <f t="shared" si="40"/>
        <v>-3.1061554718175708E-2</v>
      </c>
      <c r="AC73" s="262">
        <v>53171938</v>
      </c>
      <c r="AD73" s="1">
        <f t="shared" si="41"/>
        <v>0.17124087070621885</v>
      </c>
      <c r="AE73" s="262">
        <v>34695490</v>
      </c>
      <c r="AF73" s="1">
        <f t="shared" si="51"/>
        <v>-0.34748494591263535</v>
      </c>
      <c r="AG73" s="262">
        <v>32999572</v>
      </c>
      <c r="AH73" s="1">
        <f t="shared" si="52"/>
        <v>-4.8880070579778521E-2</v>
      </c>
      <c r="AI73" s="262">
        <v>19776912</v>
      </c>
      <c r="AJ73" s="1">
        <f t="shared" si="53"/>
        <v>-0.40069186351871472</v>
      </c>
      <c r="AK73" s="262">
        <v>18323434</v>
      </c>
      <c r="AL73" s="1">
        <f t="shared" si="54"/>
        <v>-7.349367788055082E-2</v>
      </c>
      <c r="AM73" s="262">
        <v>21911511</v>
      </c>
      <c r="AN73" s="1">
        <f t="shared" si="55"/>
        <v>0.19581902606247278</v>
      </c>
      <c r="AO73" s="262">
        <v>22454607</v>
      </c>
      <c r="AP73" s="1">
        <f t="shared" si="47"/>
        <v>2.4785876245595296E-2</v>
      </c>
    </row>
    <row r="74" spans="1:42" x14ac:dyDescent="0.2">
      <c r="A74" s="3" t="s">
        <v>143</v>
      </c>
      <c r="B74" s="320">
        <f t="shared" si="32"/>
        <v>-2.1217341782966581E-2</v>
      </c>
      <c r="C74" s="320"/>
      <c r="D74" s="5">
        <v>5870417</v>
      </c>
      <c r="E74" s="5">
        <v>5838173</v>
      </c>
      <c r="F74" s="1">
        <f t="shared" si="33"/>
        <v>-5.4926251405990412E-3</v>
      </c>
      <c r="G74" s="5">
        <v>5927930</v>
      </c>
      <c r="H74" s="1">
        <f t="shared" si="48"/>
        <v>1.5374159004880466E-2</v>
      </c>
      <c r="I74" s="236">
        <v>5996396</v>
      </c>
      <c r="J74" s="1">
        <f t="shared" si="34"/>
        <v>1.1549731525169832E-2</v>
      </c>
      <c r="K74" s="5">
        <v>5984204</v>
      </c>
      <c r="L74" s="1">
        <f t="shared" si="35"/>
        <v>-2.033221288253811E-3</v>
      </c>
      <c r="M74" s="5">
        <v>10153961.333333334</v>
      </c>
      <c r="N74" s="1">
        <f t="shared" si="36"/>
        <v>0.69679398184509322</v>
      </c>
      <c r="O74" s="236">
        <v>10428357.333333334</v>
      </c>
      <c r="P74" s="1">
        <f t="shared" si="49"/>
        <v>2.7023541945074701E-2</v>
      </c>
      <c r="Q74" s="236">
        <v>10450903.666667668</v>
      </c>
      <c r="R74" s="1">
        <f t="shared" si="49"/>
        <v>2.1620215546572044E-3</v>
      </c>
      <c r="S74" s="236">
        <v>10533535.666666666</v>
      </c>
      <c r="T74" s="1">
        <f t="shared" si="49"/>
        <v>7.9066846881907567E-3</v>
      </c>
      <c r="U74" s="262">
        <v>15936159</v>
      </c>
      <c r="V74" s="1">
        <f t="shared" si="38"/>
        <v>0.51289742630576696</v>
      </c>
      <c r="W74" s="262">
        <v>23313766</v>
      </c>
      <c r="X74" s="1">
        <f t="shared" si="50"/>
        <v>0.46294762746782331</v>
      </c>
      <c r="Y74" s="262">
        <v>23439162</v>
      </c>
      <c r="Z74" s="1">
        <f t="shared" si="50"/>
        <v>5.3786248004719615E-3</v>
      </c>
      <c r="AA74" s="262">
        <v>23607914</v>
      </c>
      <c r="AB74" s="1">
        <f t="shared" si="40"/>
        <v>7.1995747970853225E-3</v>
      </c>
      <c r="AC74" s="262">
        <v>23924501</v>
      </c>
      <c r="AD74" s="1">
        <f t="shared" si="41"/>
        <v>1.3410206424845498E-2</v>
      </c>
      <c r="AE74" s="262">
        <v>23599685</v>
      </c>
      <c r="AF74" s="1">
        <f t="shared" si="51"/>
        <v>-1.357670949960461E-2</v>
      </c>
      <c r="AG74" s="262">
        <v>19384479</v>
      </c>
      <c r="AH74" s="1">
        <f t="shared" si="52"/>
        <v>-0.17861280775569674</v>
      </c>
      <c r="AI74" s="262">
        <v>18678989</v>
      </c>
      <c r="AJ74" s="1">
        <f t="shared" si="53"/>
        <v>-3.6394581458702085E-2</v>
      </c>
      <c r="AK74" s="262">
        <v>18559255</v>
      </c>
      <c r="AL74" s="1">
        <f t="shared" si="54"/>
        <v>-6.4100899679313478E-3</v>
      </c>
      <c r="AM74" s="262">
        <v>18761967</v>
      </c>
      <c r="AN74" s="1">
        <f t="shared" si="55"/>
        <v>1.0922421185548665E-2</v>
      </c>
      <c r="AO74" s="262">
        <v>20720873</v>
      </c>
      <c r="AP74" s="1">
        <f t="shared" si="47"/>
        <v>0.1044083490819486</v>
      </c>
    </row>
    <row r="75" spans="1:42" x14ac:dyDescent="0.2">
      <c r="A75" s="3" t="s">
        <v>78</v>
      </c>
      <c r="B75" s="320">
        <f t="shared" si="32"/>
        <v>-1.8711854817104679E-2</v>
      </c>
      <c r="C75" s="320"/>
      <c r="D75" s="5">
        <v>14498738</v>
      </c>
      <c r="E75" s="5">
        <v>14491753</v>
      </c>
      <c r="F75" s="1">
        <f t="shared" si="33"/>
        <v>-4.8176606819159019E-4</v>
      </c>
      <c r="G75" s="5">
        <v>14639597</v>
      </c>
      <c r="H75" s="1">
        <f t="shared" si="48"/>
        <v>1.0201940372569144E-2</v>
      </c>
      <c r="I75" s="236">
        <v>15003779</v>
      </c>
      <c r="J75" s="1">
        <f t="shared" si="34"/>
        <v>2.4876504455689594E-2</v>
      </c>
      <c r="K75" s="5">
        <v>15181368</v>
      </c>
      <c r="L75" s="1">
        <f t="shared" si="35"/>
        <v>1.1836284712004888E-2</v>
      </c>
      <c r="M75" s="5">
        <v>18777521</v>
      </c>
      <c r="N75" s="1">
        <f t="shared" si="36"/>
        <v>0.23687937740525097</v>
      </c>
      <c r="O75" s="236">
        <v>19114833</v>
      </c>
      <c r="P75" s="1">
        <f t="shared" si="49"/>
        <v>1.7963606591093681E-2</v>
      </c>
      <c r="Q75" s="236">
        <v>18963225.000000801</v>
      </c>
      <c r="R75" s="1">
        <f t="shared" si="49"/>
        <v>-7.9314320977431022E-3</v>
      </c>
      <c r="S75" s="236">
        <v>19141753</v>
      </c>
      <c r="T75" s="1">
        <f t="shared" si="49"/>
        <v>9.4144324079470411E-3</v>
      </c>
      <c r="U75" s="262">
        <v>24550073</v>
      </c>
      <c r="V75" s="1">
        <f t="shared" si="38"/>
        <v>0.28254047578609964</v>
      </c>
      <c r="W75" s="262">
        <v>41086359</v>
      </c>
      <c r="X75" s="1">
        <f t="shared" si="50"/>
        <v>0.67357380159317648</v>
      </c>
      <c r="Y75" s="262">
        <v>41384447</v>
      </c>
      <c r="Z75" s="1">
        <f t="shared" si="50"/>
        <v>7.2551573625689245E-3</v>
      </c>
      <c r="AA75" s="262">
        <v>41968167</v>
      </c>
      <c r="AB75" s="1">
        <f t="shared" si="40"/>
        <v>1.4104815753609079E-2</v>
      </c>
      <c r="AC75" s="262">
        <v>42008694</v>
      </c>
      <c r="AD75" s="1">
        <f t="shared" si="41"/>
        <v>9.6566047309142662E-4</v>
      </c>
      <c r="AE75" s="262">
        <v>42594926</v>
      </c>
      <c r="AF75" s="1">
        <f t="shared" si="51"/>
        <v>1.3955016073577532E-2</v>
      </c>
      <c r="AG75" s="262">
        <v>38270126</v>
      </c>
      <c r="AH75" s="1">
        <f t="shared" si="52"/>
        <v>-0.10153322017744555</v>
      </c>
      <c r="AI75" s="262">
        <v>37232997</v>
      </c>
      <c r="AJ75" s="1">
        <f t="shared" si="53"/>
        <v>-2.7100224336862648E-2</v>
      </c>
      <c r="AK75" s="262">
        <v>36496289</v>
      </c>
      <c r="AL75" s="1">
        <f t="shared" si="54"/>
        <v>-1.9786427614193938E-2</v>
      </c>
      <c r="AM75" s="262">
        <v>37575188</v>
      </c>
      <c r="AN75" s="1">
        <f t="shared" si="55"/>
        <v>2.9561882305348907E-2</v>
      </c>
      <c r="AO75" s="262">
        <v>38525792</v>
      </c>
      <c r="AP75" s="1">
        <f t="shared" si="47"/>
        <v>2.5298715737629842E-2</v>
      </c>
    </row>
    <row r="76" spans="1:42" x14ac:dyDescent="0.2">
      <c r="A76" s="3" t="s">
        <v>79</v>
      </c>
      <c r="B76" s="320">
        <f t="shared" si="32"/>
        <v>-2.8993672247787733E-2</v>
      </c>
      <c r="C76" s="320"/>
      <c r="D76" s="5">
        <v>3698425</v>
      </c>
      <c r="E76" s="5">
        <v>3709346</v>
      </c>
      <c r="F76" s="1">
        <f t="shared" si="33"/>
        <v>2.9528785902106979E-3</v>
      </c>
      <c r="G76" s="5">
        <v>3737325</v>
      </c>
      <c r="H76" s="1">
        <f t="shared" si="48"/>
        <v>7.5428390880764428E-3</v>
      </c>
      <c r="I76" s="236">
        <v>3787730</v>
      </c>
      <c r="J76" s="1">
        <f t="shared" si="34"/>
        <v>1.3486919119958795E-2</v>
      </c>
      <c r="K76" s="5">
        <v>3775097</v>
      </c>
      <c r="L76" s="1">
        <f t="shared" si="35"/>
        <v>-3.3352430083453677E-3</v>
      </c>
      <c r="M76" s="5">
        <v>4486671.333333333</v>
      </c>
      <c r="N76" s="1">
        <f t="shared" si="36"/>
        <v>0.18849166877919507</v>
      </c>
      <c r="O76" s="236">
        <v>4600159.333333333</v>
      </c>
      <c r="P76" s="1">
        <f t="shared" si="49"/>
        <v>2.5294475919564425E-2</v>
      </c>
      <c r="Q76" s="236">
        <v>4635542.6666676672</v>
      </c>
      <c r="R76" s="1">
        <f t="shared" si="49"/>
        <v>7.6917625609056869E-3</v>
      </c>
      <c r="S76" s="236">
        <v>4726094.333333333</v>
      </c>
      <c r="T76" s="1">
        <f t="shared" si="49"/>
        <v>1.9534210593462251E-2</v>
      </c>
      <c r="U76" s="262">
        <v>6048475</v>
      </c>
      <c r="V76" s="1">
        <f t="shared" si="38"/>
        <v>0.27980412014628298</v>
      </c>
      <c r="W76" s="262">
        <v>9561691</v>
      </c>
      <c r="X76" s="1">
        <f t="shared" si="50"/>
        <v>0.5808432704111367</v>
      </c>
      <c r="Y76" s="262">
        <v>9572809</v>
      </c>
      <c r="Z76" s="1">
        <f t="shared" si="50"/>
        <v>1.1627650381088449E-3</v>
      </c>
      <c r="AA76" s="262">
        <v>10077270</v>
      </c>
      <c r="AB76" s="1">
        <f t="shared" si="40"/>
        <v>5.2697280390740064E-2</v>
      </c>
      <c r="AC76" s="262">
        <v>10248292</v>
      </c>
      <c r="AD76" s="1">
        <f t="shared" si="41"/>
        <v>1.6971064583959743E-2</v>
      </c>
      <c r="AE76" s="262">
        <v>10174804</v>
      </c>
      <c r="AF76" s="1">
        <f t="shared" si="51"/>
        <v>-7.170755868392509E-3</v>
      </c>
      <c r="AG76" s="262">
        <v>9269221</v>
      </c>
      <c r="AH76" s="1">
        <f t="shared" si="52"/>
        <v>-8.9002500686991115E-2</v>
      </c>
      <c r="AI76" s="262">
        <v>8194294</v>
      </c>
      <c r="AJ76" s="1">
        <f t="shared" si="53"/>
        <v>-0.11596735043861831</v>
      </c>
      <c r="AK76" s="262">
        <v>8296686</v>
      </c>
      <c r="AL76" s="1">
        <f t="shared" si="54"/>
        <v>1.2495524324609295E-2</v>
      </c>
      <c r="AM76" s="262">
        <v>8483330</v>
      </c>
      <c r="AN76" s="1">
        <f t="shared" si="55"/>
        <v>2.2496211137796464E-2</v>
      </c>
      <c r="AO76" s="262">
        <v>8695496</v>
      </c>
      <c r="AP76" s="1">
        <f t="shared" si="47"/>
        <v>2.5009754424265E-2</v>
      </c>
    </row>
    <row r="77" spans="1:42" x14ac:dyDescent="0.2">
      <c r="B77" s="320"/>
      <c r="C77" s="320"/>
      <c r="D77" s="5"/>
      <c r="F77" s="5"/>
      <c r="J77" s="1"/>
      <c r="L77" s="1"/>
      <c r="N77" s="1"/>
      <c r="P77" s="1"/>
      <c r="R77" s="1"/>
      <c r="T77" s="1"/>
      <c r="V77" s="1"/>
      <c r="X77" s="1"/>
      <c r="Z77" s="1"/>
      <c r="AB77" s="1"/>
      <c r="AD77" s="1"/>
      <c r="AF77" s="1"/>
      <c r="AH77" s="1"/>
      <c r="AJ77" s="1"/>
      <c r="AL77" s="1"/>
      <c r="AN77" s="1"/>
      <c r="AO77" s="262"/>
      <c r="AP77" s="1"/>
    </row>
    <row r="78" spans="1:42" x14ac:dyDescent="0.2">
      <c r="A78" s="3" t="s">
        <v>506</v>
      </c>
      <c r="B78" s="320"/>
      <c r="C78" s="320"/>
      <c r="D78" s="5"/>
      <c r="F78" s="5"/>
      <c r="J78" s="1"/>
      <c r="L78" s="1"/>
      <c r="N78" s="1"/>
      <c r="P78" s="1"/>
      <c r="R78" s="1"/>
      <c r="T78" s="1"/>
      <c r="V78" s="1"/>
      <c r="X78" s="1"/>
      <c r="Z78" s="1"/>
      <c r="AB78" s="1"/>
      <c r="AD78" s="1"/>
      <c r="AF78" s="1"/>
      <c r="AH78" s="1"/>
      <c r="AJ78" s="1"/>
      <c r="AL78" s="1"/>
      <c r="AN78" s="1"/>
      <c r="AO78" s="262"/>
      <c r="AP78" s="1"/>
    </row>
    <row r="79" spans="1:42" x14ac:dyDescent="0.2">
      <c r="B79" s="320"/>
      <c r="C79" s="320"/>
      <c r="D79" s="5"/>
      <c r="F79" s="5"/>
      <c r="J79" s="1"/>
      <c r="L79" s="1"/>
      <c r="N79" s="1"/>
      <c r="P79" s="1"/>
      <c r="R79" s="1"/>
      <c r="T79" s="1"/>
      <c r="V79" s="1"/>
      <c r="X79" s="1"/>
      <c r="Z79" s="1"/>
      <c r="AB79" s="1"/>
      <c r="AD79" s="1"/>
      <c r="AF79" s="1"/>
      <c r="AH79" s="1"/>
      <c r="AJ79" s="1"/>
      <c r="AL79" s="1"/>
      <c r="AN79" s="1"/>
      <c r="AO79" s="262"/>
      <c r="AP79" s="1"/>
    </row>
    <row r="80" spans="1:42" x14ac:dyDescent="0.2">
      <c r="A80" s="3" t="s">
        <v>144</v>
      </c>
      <c r="B80" s="320">
        <f t="shared" ref="B80:B89" si="56">SUM((AL80+AN80+AP80+AJ80+AH80)/5)</f>
        <v>8.6242133779561095E-2</v>
      </c>
      <c r="C80" s="320">
        <f>[1]Population!O74</f>
        <v>2.0033793553110708E-2</v>
      </c>
      <c r="D80" s="5">
        <v>705262008</v>
      </c>
      <c r="E80" s="5">
        <v>755146300</v>
      </c>
      <c r="F80" s="1">
        <f t="shared" ref="F80:F89" si="57">SUM((E80-D80)/D80)</f>
        <v>7.0731574130106833E-2</v>
      </c>
      <c r="G80" s="5">
        <v>786991056</v>
      </c>
      <c r="H80" s="1">
        <f t="shared" ref="H80:H89" si="58">SUM((G80-E80)/E80)</f>
        <v>4.2170313222749022E-2</v>
      </c>
      <c r="I80" s="236">
        <v>834439076</v>
      </c>
      <c r="J80" s="1">
        <f t="shared" ref="J80:J89" si="59">SUM((I80-G80)/G80)</f>
        <v>6.0290418344983075E-2</v>
      </c>
      <c r="K80" s="5">
        <v>861338895</v>
      </c>
      <c r="L80" s="1">
        <f t="shared" ref="L80:T89" si="60">SUM((K80-I80)/I80)</f>
        <v>3.2237007798038453E-2</v>
      </c>
      <c r="M80" s="5">
        <v>864632885.33333337</v>
      </c>
      <c r="N80" s="1">
        <f t="shared" si="60"/>
        <v>3.8242674892016494E-3</v>
      </c>
      <c r="O80" s="5">
        <v>871951191</v>
      </c>
      <c r="P80" s="1">
        <f t="shared" si="60"/>
        <v>8.4640612111870732E-3</v>
      </c>
      <c r="Q80" s="5">
        <v>864466539.00003266</v>
      </c>
      <c r="R80" s="1">
        <f t="shared" si="60"/>
        <v>-8.583796979947397E-3</v>
      </c>
      <c r="S80" s="236">
        <v>869494077</v>
      </c>
      <c r="T80" s="1">
        <f t="shared" si="60"/>
        <v>5.8157693480917327E-3</v>
      </c>
      <c r="U80" s="262">
        <v>865348220</v>
      </c>
      <c r="V80" s="1">
        <f t="shared" ref="V80:V89" si="61">SUM((U80-S80)/S80)</f>
        <v>-4.7681256372721671E-3</v>
      </c>
      <c r="W80" s="262">
        <v>937053541</v>
      </c>
      <c r="X80" s="1">
        <f t="shared" ref="X80:Z89" si="62">SUM((W80-U80)/U80)</f>
        <v>8.2862967003040688E-2</v>
      </c>
      <c r="Y80" s="262">
        <v>980626160</v>
      </c>
      <c r="Z80" s="1">
        <f t="shared" si="62"/>
        <v>4.6499604444694156E-2</v>
      </c>
      <c r="AA80" s="262">
        <v>1090000649</v>
      </c>
      <c r="AB80" s="1">
        <f t="shared" ref="AB80:AB89" si="63">SUM((AA80-Y80)/Y80)</f>
        <v>0.11153535716403895</v>
      </c>
      <c r="AC80" s="262">
        <v>1123816012</v>
      </c>
      <c r="AD80" s="1">
        <f t="shared" ref="AD80:AD89" si="64">SUM((AC80-AA80)/AA80)</f>
        <v>3.1023250335697736E-2</v>
      </c>
      <c r="AE80" s="262">
        <v>1203594944</v>
      </c>
      <c r="AF80" s="1">
        <f t="shared" ref="AF80:AF89" si="65">SUM((AE80-AC80)/AC80)</f>
        <v>7.0989317778113306E-2</v>
      </c>
      <c r="AG80" s="262">
        <v>1205484473</v>
      </c>
      <c r="AH80" s="1">
        <f t="shared" ref="AH80:AH89" si="66">SUM((AG80-AE80)/AE80)</f>
        <v>1.5699044013265647E-3</v>
      </c>
      <c r="AI80" s="262">
        <v>1314717297</v>
      </c>
      <c r="AJ80" s="1">
        <f t="shared" ref="AJ80:AJ89" si="67">SUM((AI80-AG80)/AG80)</f>
        <v>9.0613215223054974E-2</v>
      </c>
      <c r="AK80" s="262">
        <v>1620208475</v>
      </c>
      <c r="AL80" s="1">
        <f t="shared" ref="AL80:AL89" si="68">SUM((AK80-AI80)/AI80)</f>
        <v>0.23236263696924647</v>
      </c>
      <c r="AM80" s="262">
        <v>1752686233</v>
      </c>
      <c r="AN80" s="1">
        <f t="shared" ref="AN80:AN89" si="69">SUM((AM80-AK80)/AK80)</f>
        <v>8.1765871518478514E-2</v>
      </c>
      <c r="AO80" s="262">
        <v>1796326439</v>
      </c>
      <c r="AP80" s="1">
        <f t="shared" si="47"/>
        <v>2.489904078569892E-2</v>
      </c>
    </row>
    <row r="81" spans="1:42" x14ac:dyDescent="0.2">
      <c r="A81" s="3" t="s">
        <v>87</v>
      </c>
      <c r="B81" s="320">
        <f t="shared" si="56"/>
        <v>4.9800673585754816E-2</v>
      </c>
      <c r="C81" s="320">
        <f>[1]Population!O75</f>
        <v>9.2061332680939828E-3</v>
      </c>
      <c r="D81" s="5">
        <v>16690039</v>
      </c>
      <c r="E81" s="5">
        <v>16581435</v>
      </c>
      <c r="F81" s="1">
        <f t="shared" si="57"/>
        <v>-6.5071148126136791E-3</v>
      </c>
      <c r="G81" s="5">
        <v>20136417</v>
      </c>
      <c r="H81" s="1">
        <f t="shared" si="58"/>
        <v>0.21439531620755381</v>
      </c>
      <c r="I81" s="236">
        <v>20816391</v>
      </c>
      <c r="J81" s="1">
        <f t="shared" si="59"/>
        <v>3.3768371006619502E-2</v>
      </c>
      <c r="K81" s="5">
        <v>21612393</v>
      </c>
      <c r="L81" s="1">
        <f t="shared" si="60"/>
        <v>3.8239193335674757E-2</v>
      </c>
      <c r="M81" s="5">
        <v>21823597</v>
      </c>
      <c r="N81" s="1">
        <f t="shared" si="60"/>
        <v>9.7723560736656979E-3</v>
      </c>
      <c r="O81" s="5">
        <v>21366761</v>
      </c>
      <c r="P81" s="1">
        <f t="shared" si="60"/>
        <v>-2.0933121153217778E-2</v>
      </c>
      <c r="Q81" s="5">
        <v>20888375.0400021</v>
      </c>
      <c r="R81" s="1">
        <f t="shared" si="60"/>
        <v>-2.2389259654184358E-2</v>
      </c>
      <c r="S81" s="236">
        <v>20473221</v>
      </c>
      <c r="T81" s="1">
        <f t="shared" si="60"/>
        <v>-1.9874884437255796E-2</v>
      </c>
      <c r="U81" s="262">
        <v>20336949</v>
      </c>
      <c r="V81" s="1">
        <f t="shared" si="61"/>
        <v>-6.6561094612323096E-3</v>
      </c>
      <c r="W81" s="262">
        <v>22749495.076749794</v>
      </c>
      <c r="X81" s="1">
        <f t="shared" si="62"/>
        <v>0.11862871253450034</v>
      </c>
      <c r="Y81" s="262">
        <v>21753184</v>
      </c>
      <c r="Z81" s="1">
        <f t="shared" si="62"/>
        <v>-4.3794865485521646E-2</v>
      </c>
      <c r="AA81" s="262">
        <v>24050060</v>
      </c>
      <c r="AB81" s="1">
        <f t="shared" si="63"/>
        <v>0.10558803713516146</v>
      </c>
      <c r="AC81" s="262">
        <v>26016659</v>
      </c>
      <c r="AD81" s="1">
        <f t="shared" si="64"/>
        <v>8.1771064188613254E-2</v>
      </c>
      <c r="AE81" s="262">
        <v>26840273</v>
      </c>
      <c r="AF81" s="1">
        <f t="shared" si="65"/>
        <v>3.1657177810571299E-2</v>
      </c>
      <c r="AG81" s="262">
        <v>27963070</v>
      </c>
      <c r="AH81" s="1">
        <f t="shared" si="66"/>
        <v>4.1832547679377184E-2</v>
      </c>
      <c r="AI81" s="262">
        <v>28358780</v>
      </c>
      <c r="AJ81" s="1">
        <f t="shared" si="67"/>
        <v>1.4151164375013186E-2</v>
      </c>
      <c r="AK81" s="262">
        <v>29134382</v>
      </c>
      <c r="AL81" s="1">
        <f t="shared" si="68"/>
        <v>2.7349625054392326E-2</v>
      </c>
      <c r="AM81" s="262">
        <v>32112951</v>
      </c>
      <c r="AN81" s="1">
        <f t="shared" si="69"/>
        <v>0.10223553051511441</v>
      </c>
      <c r="AO81" s="262">
        <v>34150020</v>
      </c>
      <c r="AP81" s="1">
        <f t="shared" si="47"/>
        <v>6.343450030487699E-2</v>
      </c>
    </row>
    <row r="82" spans="1:42" x14ac:dyDescent="0.2">
      <c r="A82" s="3" t="s">
        <v>145</v>
      </c>
      <c r="B82" s="320">
        <f t="shared" si="56"/>
        <v>4.5376487896598275E-2</v>
      </c>
      <c r="C82" s="320">
        <f>[1]Population!O76</f>
        <v>1.4710477029182961E-2</v>
      </c>
      <c r="D82" s="5">
        <v>231475367</v>
      </c>
      <c r="E82" s="5">
        <v>247881803</v>
      </c>
      <c r="F82" s="1">
        <f t="shared" si="57"/>
        <v>7.0877675722618036E-2</v>
      </c>
      <c r="G82" s="5">
        <v>263888126</v>
      </c>
      <c r="H82" s="1">
        <f t="shared" si="58"/>
        <v>6.4572400258037496E-2</v>
      </c>
      <c r="I82" s="236">
        <v>272263390</v>
      </c>
      <c r="J82" s="1">
        <f t="shared" si="59"/>
        <v>3.173793427901337E-2</v>
      </c>
      <c r="K82" s="5">
        <v>291389822</v>
      </c>
      <c r="L82" s="1">
        <f t="shared" si="60"/>
        <v>7.0249738681355575E-2</v>
      </c>
      <c r="M82" s="5">
        <v>295123545.66666669</v>
      </c>
      <c r="N82" s="1">
        <f t="shared" si="60"/>
        <v>1.2813500626204736E-2</v>
      </c>
      <c r="O82" s="5">
        <v>288766550</v>
      </c>
      <c r="P82" s="1">
        <f t="shared" si="60"/>
        <v>-2.1540116876498649E-2</v>
      </c>
      <c r="Q82" s="5">
        <v>297619552.77000248</v>
      </c>
      <c r="R82" s="1">
        <f t="shared" si="60"/>
        <v>3.0657992658784352E-2</v>
      </c>
      <c r="S82" s="236">
        <v>296187696</v>
      </c>
      <c r="T82" s="1">
        <f t="shared" si="60"/>
        <v>-4.8110305814114615E-3</v>
      </c>
      <c r="U82" s="262">
        <v>296750239</v>
      </c>
      <c r="V82" s="1">
        <f t="shared" si="61"/>
        <v>1.8992787600468049E-3</v>
      </c>
      <c r="W82" s="262">
        <v>312805734.88828188</v>
      </c>
      <c r="X82" s="1">
        <f t="shared" si="62"/>
        <v>5.4104407606835596E-2</v>
      </c>
      <c r="Y82" s="262">
        <v>337337408</v>
      </c>
      <c r="Z82" s="1">
        <f t="shared" si="62"/>
        <v>7.8424627094767205E-2</v>
      </c>
      <c r="AA82" s="262">
        <v>365991935</v>
      </c>
      <c r="AB82" s="1">
        <f t="shared" si="63"/>
        <v>8.4943223966433043E-2</v>
      </c>
      <c r="AC82" s="262">
        <v>350225662</v>
      </c>
      <c r="AD82" s="1">
        <f t="shared" si="64"/>
        <v>-4.3078197884333161E-2</v>
      </c>
      <c r="AE82" s="262">
        <v>396161160</v>
      </c>
      <c r="AF82" s="1">
        <f t="shared" si="65"/>
        <v>0.13115971496114981</v>
      </c>
      <c r="AG82" s="262">
        <v>389858141</v>
      </c>
      <c r="AH82" s="1">
        <f t="shared" si="66"/>
        <v>-1.5910239661051075E-2</v>
      </c>
      <c r="AI82" s="262">
        <v>420695508</v>
      </c>
      <c r="AJ82" s="1">
        <f t="shared" si="67"/>
        <v>7.9098943325644183E-2</v>
      </c>
      <c r="AK82" s="262">
        <v>427764045</v>
      </c>
      <c r="AL82" s="1">
        <f t="shared" si="68"/>
        <v>1.6802026324464581E-2</v>
      </c>
      <c r="AM82" s="262">
        <v>475064802</v>
      </c>
      <c r="AN82" s="1">
        <f t="shared" si="69"/>
        <v>0.11057674798264076</v>
      </c>
      <c r="AO82" s="262">
        <v>492316762</v>
      </c>
      <c r="AP82" s="1">
        <f t="shared" si="47"/>
        <v>3.6314961511292938E-2</v>
      </c>
    </row>
    <row r="83" spans="1:42" x14ac:dyDescent="0.2">
      <c r="A83" s="3" t="s">
        <v>89</v>
      </c>
      <c r="B83" s="320">
        <f t="shared" si="56"/>
        <v>1.9934917982086561E-2</v>
      </c>
      <c r="C83" s="320">
        <f>[1]Population!O77</f>
        <v>1.5154457093306812E-2</v>
      </c>
      <c r="D83" s="5">
        <v>15809410</v>
      </c>
      <c r="E83" s="5">
        <v>16014556</v>
      </c>
      <c r="F83" s="1">
        <f t="shared" si="57"/>
        <v>1.2976195822614505E-2</v>
      </c>
      <c r="G83" s="5">
        <v>16534582</v>
      </c>
      <c r="H83" s="1">
        <f t="shared" si="58"/>
        <v>3.2472083522015846E-2</v>
      </c>
      <c r="I83" s="236">
        <v>16757518</v>
      </c>
      <c r="J83" s="1">
        <f t="shared" si="59"/>
        <v>1.348301396430826E-2</v>
      </c>
      <c r="K83" s="5">
        <v>16861398</v>
      </c>
      <c r="L83" s="1">
        <f t="shared" si="60"/>
        <v>6.199008707614099E-3</v>
      </c>
      <c r="M83" s="5">
        <v>16740297.333333334</v>
      </c>
      <c r="N83" s="1">
        <f t="shared" si="60"/>
        <v>-7.1821249143556214E-3</v>
      </c>
      <c r="O83" s="5">
        <v>16318637</v>
      </c>
      <c r="P83" s="1">
        <f t="shared" si="60"/>
        <v>-2.5188341935463866E-2</v>
      </c>
      <c r="Q83" s="5">
        <v>16969183.990002099</v>
      </c>
      <c r="R83" s="1">
        <f t="shared" si="60"/>
        <v>3.986527735141724E-2</v>
      </c>
      <c r="S83" s="236">
        <v>16244624</v>
      </c>
      <c r="T83" s="1">
        <f t="shared" si="60"/>
        <v>-4.2698575867230595E-2</v>
      </c>
      <c r="U83" s="262">
        <v>15931291</v>
      </c>
      <c r="V83" s="1">
        <f t="shared" si="61"/>
        <v>-1.9288411969399847E-2</v>
      </c>
      <c r="W83" s="262">
        <v>18418870.835658107</v>
      </c>
      <c r="X83" s="1">
        <f t="shared" si="62"/>
        <v>0.15614427202780409</v>
      </c>
      <c r="Y83" s="262">
        <v>17756871</v>
      </c>
      <c r="Z83" s="1">
        <f t="shared" si="62"/>
        <v>-3.5941390846636757E-2</v>
      </c>
      <c r="AA83" s="262">
        <v>19240400</v>
      </c>
      <c r="AB83" s="1">
        <f t="shared" si="63"/>
        <v>8.354675775929217E-2</v>
      </c>
      <c r="AC83" s="262">
        <v>20604889</v>
      </c>
      <c r="AD83" s="1">
        <f t="shared" si="64"/>
        <v>7.0917912309515399E-2</v>
      </c>
      <c r="AE83" s="262">
        <v>23230378</v>
      </c>
      <c r="AF83" s="1">
        <f t="shared" si="65"/>
        <v>0.12742068156736977</v>
      </c>
      <c r="AG83" s="262">
        <v>23044184</v>
      </c>
      <c r="AH83" s="1">
        <f t="shared" si="66"/>
        <v>-8.0151084928536242E-3</v>
      </c>
      <c r="AI83" s="262">
        <v>23476497</v>
      </c>
      <c r="AJ83" s="1">
        <f t="shared" si="67"/>
        <v>1.8760178273181639E-2</v>
      </c>
      <c r="AK83" s="262">
        <v>23699539</v>
      </c>
      <c r="AL83" s="1">
        <f t="shared" si="68"/>
        <v>9.5006507998190697E-3</v>
      </c>
      <c r="AM83" s="262">
        <v>24716697</v>
      </c>
      <c r="AN83" s="1">
        <f t="shared" si="69"/>
        <v>4.2918893907598794E-2</v>
      </c>
      <c r="AO83" s="262">
        <v>25619103</v>
      </c>
      <c r="AP83" s="1">
        <f t="shared" si="47"/>
        <v>3.6509975422686941E-2</v>
      </c>
    </row>
    <row r="84" spans="1:42" x14ac:dyDescent="0.2">
      <c r="A84" s="3" t="s">
        <v>90</v>
      </c>
      <c r="B84" s="320">
        <f t="shared" si="56"/>
        <v>-7.0594063729924926E-3</v>
      </c>
      <c r="C84" s="320">
        <f>[1]Population!O78</f>
        <v>4.7540300401057644E-3</v>
      </c>
      <c r="D84" s="5">
        <v>55105077</v>
      </c>
      <c r="E84" s="5">
        <v>61124242</v>
      </c>
      <c r="F84" s="1">
        <f t="shared" si="57"/>
        <v>0.10923067941634489</v>
      </c>
      <c r="G84" s="5">
        <v>68767382</v>
      </c>
      <c r="H84" s="1">
        <f t="shared" si="58"/>
        <v>0.12504269582598668</v>
      </c>
      <c r="I84" s="236">
        <v>74966644</v>
      </c>
      <c r="J84" s="1">
        <f t="shared" si="59"/>
        <v>9.0148291525770169E-2</v>
      </c>
      <c r="K84" s="5">
        <v>83086204</v>
      </c>
      <c r="L84" s="1">
        <f t="shared" si="60"/>
        <v>0.10830897005340134</v>
      </c>
      <c r="M84" s="5">
        <v>86501323</v>
      </c>
      <c r="N84" s="1">
        <f t="shared" si="60"/>
        <v>4.1103322038879044E-2</v>
      </c>
      <c r="O84" s="5">
        <v>89407347.333333328</v>
      </c>
      <c r="P84" s="1">
        <f t="shared" si="60"/>
        <v>3.3595143201836673E-2</v>
      </c>
      <c r="Q84" s="5">
        <v>85813155.855004609</v>
      </c>
      <c r="R84" s="1">
        <f t="shared" si="60"/>
        <v>-4.0200180248371083E-2</v>
      </c>
      <c r="S84" s="236">
        <v>93600603</v>
      </c>
      <c r="T84" s="1">
        <f t="shared" si="60"/>
        <v>9.0748872563940652E-2</v>
      </c>
      <c r="U84" s="262">
        <v>93324722</v>
      </c>
      <c r="V84" s="1">
        <f t="shared" si="61"/>
        <v>-2.9474275929611267E-3</v>
      </c>
      <c r="W84" s="262">
        <v>110774861.12502097</v>
      </c>
      <c r="X84" s="1">
        <f t="shared" si="62"/>
        <v>0.18698302819504745</v>
      </c>
      <c r="Y84" s="262">
        <v>117832860</v>
      </c>
      <c r="Z84" s="1">
        <f t="shared" si="62"/>
        <v>6.3714806800916207E-2</v>
      </c>
      <c r="AA84" s="262">
        <v>137105124</v>
      </c>
      <c r="AB84" s="1">
        <f t="shared" si="63"/>
        <v>0.16355593847081365</v>
      </c>
      <c r="AC84" s="262">
        <v>125391269</v>
      </c>
      <c r="AD84" s="1">
        <f t="shared" si="64"/>
        <v>-8.543703297332636E-2</v>
      </c>
      <c r="AE84" s="262">
        <v>132856379</v>
      </c>
      <c r="AF84" s="1">
        <f t="shared" si="65"/>
        <v>5.9534527878492081E-2</v>
      </c>
      <c r="AG84" s="262">
        <v>132344722</v>
      </c>
      <c r="AH84" s="1">
        <f t="shared" si="66"/>
        <v>-3.8512038627817788E-3</v>
      </c>
      <c r="AI84" s="262">
        <v>132484603</v>
      </c>
      <c r="AJ84" s="1">
        <f t="shared" si="67"/>
        <v>1.0569443033776593E-3</v>
      </c>
      <c r="AK84" s="262">
        <v>126260772</v>
      </c>
      <c r="AL84" s="1">
        <f t="shared" si="68"/>
        <v>-4.6977768427928189E-2</v>
      </c>
      <c r="AM84" s="262">
        <v>126181503</v>
      </c>
      <c r="AN84" s="1">
        <f t="shared" si="69"/>
        <v>-6.2781970000943762E-4</v>
      </c>
      <c r="AO84" s="262">
        <v>128087199</v>
      </c>
      <c r="AP84" s="1">
        <f t="shared" si="47"/>
        <v>1.5102815822379292E-2</v>
      </c>
    </row>
    <row r="85" spans="1:42" x14ac:dyDescent="0.2">
      <c r="A85" s="3" t="s">
        <v>91</v>
      </c>
      <c r="B85" s="320">
        <f t="shared" si="56"/>
        <v>-2.9838715598945076E-2</v>
      </c>
      <c r="C85" s="320">
        <f>[1]Population!O79</f>
        <v>-1.5262601459926825E-2</v>
      </c>
      <c r="D85" s="5">
        <v>28150040</v>
      </c>
      <c r="E85" s="5">
        <v>25320834</v>
      </c>
      <c r="F85" s="1">
        <f t="shared" si="57"/>
        <v>-0.1005045108284038</v>
      </c>
      <c r="G85" s="5">
        <v>26777231</v>
      </c>
      <c r="H85" s="1">
        <f t="shared" si="58"/>
        <v>5.7517734210492437E-2</v>
      </c>
      <c r="I85" s="236">
        <v>27335764</v>
      </c>
      <c r="J85" s="1">
        <f t="shared" si="59"/>
        <v>2.0858504749800305E-2</v>
      </c>
      <c r="K85" s="5">
        <v>27652806</v>
      </c>
      <c r="L85" s="1">
        <f t="shared" si="60"/>
        <v>1.1598066181724424E-2</v>
      </c>
      <c r="M85" s="5">
        <v>28424422</v>
      </c>
      <c r="N85" s="1">
        <f t="shared" si="60"/>
        <v>2.7903714364466304E-2</v>
      </c>
      <c r="O85" s="5">
        <v>27791941</v>
      </c>
      <c r="P85" s="1">
        <f t="shared" si="60"/>
        <v>-2.2251323175542497E-2</v>
      </c>
      <c r="Q85" s="5">
        <v>27764004.355005603</v>
      </c>
      <c r="R85" s="1">
        <f t="shared" si="60"/>
        <v>-1.0052066890325047E-3</v>
      </c>
      <c r="S85" s="236">
        <v>27703819</v>
      </c>
      <c r="T85" s="1">
        <f t="shared" si="60"/>
        <v>-2.1677476431728191E-3</v>
      </c>
      <c r="U85" s="262">
        <v>27319852</v>
      </c>
      <c r="V85" s="1">
        <f t="shared" si="61"/>
        <v>-1.3859713709506982E-2</v>
      </c>
      <c r="W85" s="262">
        <v>30007642.365761157</v>
      </c>
      <c r="X85" s="1">
        <f t="shared" si="62"/>
        <v>9.8382317948177658E-2</v>
      </c>
      <c r="Y85" s="262">
        <v>27334464</v>
      </c>
      <c r="Z85" s="1">
        <f t="shared" si="62"/>
        <v>-8.9083251965548102E-2</v>
      </c>
      <c r="AA85" s="262">
        <v>28944931</v>
      </c>
      <c r="AB85" s="1">
        <f t="shared" si="63"/>
        <v>5.8917087234635367E-2</v>
      </c>
      <c r="AC85" s="262">
        <v>29448138</v>
      </c>
      <c r="AD85" s="1">
        <f t="shared" si="64"/>
        <v>1.7384978392244226E-2</v>
      </c>
      <c r="AE85" s="262">
        <v>31109700</v>
      </c>
      <c r="AF85" s="1">
        <f t="shared" si="65"/>
        <v>5.6423329719522505E-2</v>
      </c>
      <c r="AG85" s="262">
        <v>29448359</v>
      </c>
      <c r="AH85" s="1">
        <f t="shared" si="66"/>
        <v>-5.3402668621041025E-2</v>
      </c>
      <c r="AI85" s="262">
        <v>30192483</v>
      </c>
      <c r="AJ85" s="1">
        <f t="shared" si="67"/>
        <v>2.5268776436744744E-2</v>
      </c>
      <c r="AK85" s="262">
        <v>30750673</v>
      </c>
      <c r="AL85" s="1">
        <f t="shared" si="68"/>
        <v>1.8487714309551817E-2</v>
      </c>
      <c r="AM85" s="262">
        <v>30170245</v>
      </c>
      <c r="AN85" s="1">
        <f t="shared" si="69"/>
        <v>-1.8875294209008044E-2</v>
      </c>
      <c r="AO85" s="262">
        <v>26529538</v>
      </c>
      <c r="AP85" s="1">
        <f t="shared" si="47"/>
        <v>-0.12067210591097288</v>
      </c>
    </row>
    <row r="86" spans="1:42" x14ac:dyDescent="0.2">
      <c r="A86" s="3" t="s">
        <v>92</v>
      </c>
      <c r="B86" s="320">
        <f t="shared" si="56"/>
        <v>8.4588829009065974E-2</v>
      </c>
      <c r="C86" s="320">
        <f>[1]Population!O80</f>
        <v>-1.3374945879761568E-2</v>
      </c>
      <c r="D86" s="5">
        <v>616922</v>
      </c>
      <c r="E86" s="5">
        <v>574687</v>
      </c>
      <c r="F86" s="1">
        <f t="shared" si="57"/>
        <v>-6.846084269972541E-2</v>
      </c>
      <c r="G86" s="5">
        <v>729271</v>
      </c>
      <c r="H86" s="1">
        <f t="shared" si="58"/>
        <v>0.26898816225179967</v>
      </c>
      <c r="I86" s="236">
        <v>736321</v>
      </c>
      <c r="J86" s="1">
        <f t="shared" si="59"/>
        <v>9.6671881920438359E-3</v>
      </c>
      <c r="K86" s="5">
        <v>696727</v>
      </c>
      <c r="L86" s="1">
        <f t="shared" si="60"/>
        <v>-5.3772743137843415E-2</v>
      </c>
      <c r="M86" s="5">
        <v>699619</v>
      </c>
      <c r="N86" s="1">
        <f t="shared" si="60"/>
        <v>4.1508366978744906E-3</v>
      </c>
      <c r="O86" s="5">
        <v>765663</v>
      </c>
      <c r="P86" s="1">
        <f t="shared" si="60"/>
        <v>9.4399951973860058E-2</v>
      </c>
      <c r="Q86" s="5">
        <v>744722.24500480003</v>
      </c>
      <c r="R86" s="1">
        <f t="shared" si="60"/>
        <v>-2.7349832753051889E-2</v>
      </c>
      <c r="S86" s="236">
        <v>777530</v>
      </c>
      <c r="T86" s="1">
        <f t="shared" si="60"/>
        <v>4.4053679362013029E-2</v>
      </c>
      <c r="U86" s="262">
        <v>827968</v>
      </c>
      <c r="V86" s="1">
        <f t="shared" si="61"/>
        <v>6.486952271938061E-2</v>
      </c>
      <c r="W86" s="262">
        <v>814448.39815197978</v>
      </c>
      <c r="X86" s="1">
        <f t="shared" si="62"/>
        <v>-1.632865261461822E-2</v>
      </c>
      <c r="Y86" s="262">
        <v>806045</v>
      </c>
      <c r="Z86" s="1">
        <f t="shared" si="62"/>
        <v>-1.0317901258136761E-2</v>
      </c>
      <c r="AA86" s="262">
        <v>871388</v>
      </c>
      <c r="AB86" s="1">
        <f t="shared" si="63"/>
        <v>8.106619357480041E-2</v>
      </c>
      <c r="AC86" s="262">
        <v>938217</v>
      </c>
      <c r="AD86" s="1">
        <f t="shared" si="64"/>
        <v>7.6692586999132423E-2</v>
      </c>
      <c r="AE86" s="262">
        <v>1012795</v>
      </c>
      <c r="AF86" s="1">
        <f t="shared" si="65"/>
        <v>7.9489073423312517E-2</v>
      </c>
      <c r="AG86" s="262">
        <v>1078881</v>
      </c>
      <c r="AH86" s="1">
        <f t="shared" si="66"/>
        <v>6.5251112021682572E-2</v>
      </c>
      <c r="AI86" s="262">
        <v>1111135</v>
      </c>
      <c r="AJ86" s="1">
        <f t="shared" si="67"/>
        <v>2.9895790175190777E-2</v>
      </c>
      <c r="AK86" s="262">
        <v>1259826</v>
      </c>
      <c r="AL86" s="1">
        <f t="shared" si="68"/>
        <v>0.13381902289100783</v>
      </c>
      <c r="AM86" s="262">
        <v>1386192</v>
      </c>
      <c r="AN86" s="1">
        <f t="shared" si="69"/>
        <v>0.1003043277404975</v>
      </c>
      <c r="AO86" s="262">
        <v>1516042</v>
      </c>
      <c r="AP86" s="1">
        <f t="shared" si="47"/>
        <v>9.3673892216951188E-2</v>
      </c>
    </row>
    <row r="87" spans="1:42" x14ac:dyDescent="0.2">
      <c r="A87" s="3" t="s">
        <v>93</v>
      </c>
      <c r="B87" s="320">
        <f t="shared" si="56"/>
        <v>1.3320610152510104E-2</v>
      </c>
      <c r="C87" s="320">
        <f>[1]Population!O81</f>
        <v>-2.5258077751446088E-3</v>
      </c>
      <c r="D87" s="5">
        <v>890957</v>
      </c>
      <c r="E87" s="5">
        <v>898372</v>
      </c>
      <c r="F87" s="1">
        <f t="shared" si="57"/>
        <v>8.3225116363640442E-3</v>
      </c>
      <c r="G87" s="5">
        <v>933412</v>
      </c>
      <c r="H87" s="1">
        <f t="shared" si="58"/>
        <v>3.9003887031207565E-2</v>
      </c>
      <c r="I87" s="236">
        <v>912696</v>
      </c>
      <c r="J87" s="1">
        <f t="shared" si="59"/>
        <v>-2.2193843661748511E-2</v>
      </c>
      <c r="K87" s="5">
        <v>913566</v>
      </c>
      <c r="L87" s="1">
        <f t="shared" si="60"/>
        <v>9.532199111204607E-4</v>
      </c>
      <c r="M87" s="5">
        <v>946377</v>
      </c>
      <c r="N87" s="1">
        <f t="shared" si="60"/>
        <v>3.5915303327838384E-2</v>
      </c>
      <c r="O87" s="5">
        <v>776294</v>
      </c>
      <c r="P87" s="1">
        <f t="shared" si="60"/>
        <v>-0.17972013267439932</v>
      </c>
      <c r="Q87" s="5">
        <v>758165.89500580006</v>
      </c>
      <c r="R87" s="1">
        <f t="shared" si="60"/>
        <v>-2.3352112723014653E-2</v>
      </c>
      <c r="S87" s="236">
        <v>765485</v>
      </c>
      <c r="T87" s="1">
        <f t="shared" si="60"/>
        <v>9.6536985406656221E-3</v>
      </c>
      <c r="U87" s="262">
        <v>666682</v>
      </c>
      <c r="V87" s="1">
        <f t="shared" si="61"/>
        <v>-0.12907241814013337</v>
      </c>
      <c r="W87" s="262">
        <v>1944511.2913512383</v>
      </c>
      <c r="X87" s="1">
        <f t="shared" si="62"/>
        <v>1.9166998529302399</v>
      </c>
      <c r="Y87" s="262">
        <v>789950</v>
      </c>
      <c r="Z87" s="1">
        <f t="shared" si="62"/>
        <v>-0.59375396609239295</v>
      </c>
      <c r="AA87" s="262">
        <v>1514046</v>
      </c>
      <c r="AB87" s="1">
        <f t="shared" si="63"/>
        <v>0.91663523007785308</v>
      </c>
      <c r="AC87" s="262">
        <v>1995508</v>
      </c>
      <c r="AD87" s="1">
        <f t="shared" si="64"/>
        <v>0.31799694328970191</v>
      </c>
      <c r="AE87" s="262">
        <v>1818035</v>
      </c>
      <c r="AF87" s="1">
        <f t="shared" si="65"/>
        <v>-8.8936250819340243E-2</v>
      </c>
      <c r="AG87" s="262">
        <v>1785225</v>
      </c>
      <c r="AH87" s="1">
        <f t="shared" si="66"/>
        <v>-1.8046957291801315E-2</v>
      </c>
      <c r="AI87" s="262">
        <v>1801174</v>
      </c>
      <c r="AJ87" s="1">
        <f t="shared" si="67"/>
        <v>8.9338878852805673E-3</v>
      </c>
      <c r="AK87" s="262">
        <v>1966350</v>
      </c>
      <c r="AL87" s="1">
        <f t="shared" si="68"/>
        <v>9.1704632645152551E-2</v>
      </c>
      <c r="AM87" s="262">
        <v>2093446</v>
      </c>
      <c r="AN87" s="1">
        <f t="shared" si="69"/>
        <v>6.4635492155516561E-2</v>
      </c>
      <c r="AO87" s="262">
        <v>1924664</v>
      </c>
      <c r="AP87" s="1">
        <f t="shared" si="47"/>
        <v>-8.0624004631597856E-2</v>
      </c>
    </row>
    <row r="88" spans="1:42" x14ac:dyDescent="0.2">
      <c r="A88" s="3" t="s">
        <v>146</v>
      </c>
      <c r="B88" s="320">
        <f t="shared" si="56"/>
        <v>0.10570158173877935</v>
      </c>
      <c r="C88" s="320"/>
      <c r="D88" s="5">
        <v>327862430</v>
      </c>
      <c r="E88" s="5">
        <v>356629660</v>
      </c>
      <c r="F88" s="1">
        <f t="shared" si="57"/>
        <v>8.7741770229666144E-2</v>
      </c>
      <c r="G88" s="5">
        <v>400369857</v>
      </c>
      <c r="H88" s="1">
        <f t="shared" si="58"/>
        <v>0.12264879202700078</v>
      </c>
      <c r="I88" s="236">
        <v>421763042</v>
      </c>
      <c r="J88" s="1">
        <f t="shared" si="59"/>
        <v>5.3433555563599786E-2</v>
      </c>
      <c r="K88" s="5">
        <v>445505687</v>
      </c>
      <c r="L88" s="1">
        <f t="shared" si="60"/>
        <v>5.6293801579703137E-2</v>
      </c>
      <c r="M88" s="5">
        <v>452945494</v>
      </c>
      <c r="N88" s="1">
        <f t="shared" si="60"/>
        <v>1.6699690300474211E-2</v>
      </c>
      <c r="O88" s="5">
        <v>477730422</v>
      </c>
      <c r="P88" s="1">
        <f t="shared" si="60"/>
        <v>5.4719449311929791E-2</v>
      </c>
      <c r="Q88" s="5">
        <v>489570023.20000279</v>
      </c>
      <c r="R88" s="1">
        <f t="shared" si="60"/>
        <v>2.4783017063131033E-2</v>
      </c>
      <c r="S88" s="236">
        <v>540167383</v>
      </c>
      <c r="T88" s="1">
        <f t="shared" si="60"/>
        <v>0.1033506084977895</v>
      </c>
      <c r="U88" s="262">
        <v>529225559</v>
      </c>
      <c r="V88" s="1">
        <f t="shared" si="61"/>
        <v>-2.0256358203694057E-2</v>
      </c>
      <c r="W88" s="262">
        <v>563255754.03513324</v>
      </c>
      <c r="X88" s="1">
        <f t="shared" si="62"/>
        <v>6.430187366504958E-2</v>
      </c>
      <c r="Y88" s="262">
        <v>608072912</v>
      </c>
      <c r="Z88" s="1">
        <f t="shared" si="62"/>
        <v>7.9568042836312108E-2</v>
      </c>
      <c r="AA88" s="262">
        <v>681567419</v>
      </c>
      <c r="AB88" s="1">
        <f t="shared" si="63"/>
        <v>0.12086462914171056</v>
      </c>
      <c r="AC88" s="262">
        <v>713814015</v>
      </c>
      <c r="AD88" s="1">
        <f t="shared" si="64"/>
        <v>4.7312408282826089E-2</v>
      </c>
      <c r="AE88" s="262">
        <v>776891307</v>
      </c>
      <c r="AF88" s="1">
        <f t="shared" si="65"/>
        <v>8.8366564223315222E-2</v>
      </c>
      <c r="AG88" s="262">
        <v>769453826</v>
      </c>
      <c r="AH88" s="1">
        <f t="shared" si="66"/>
        <v>-9.5733868212789768E-3</v>
      </c>
      <c r="AI88" s="262">
        <v>858379776</v>
      </c>
      <c r="AJ88" s="1">
        <f t="shared" si="67"/>
        <v>0.11557022266336746</v>
      </c>
      <c r="AK88" s="262">
        <v>1085826624</v>
      </c>
      <c r="AL88" s="1">
        <f t="shared" si="68"/>
        <v>0.26497228191918631</v>
      </c>
      <c r="AM88" s="262">
        <v>1218620716</v>
      </c>
      <c r="AN88" s="1">
        <f t="shared" si="69"/>
        <v>0.12229769381672484</v>
      </c>
      <c r="AO88" s="262">
        <v>1261566247</v>
      </c>
      <c r="AP88" s="1">
        <f t="shared" si="47"/>
        <v>3.5241097115897055E-2</v>
      </c>
    </row>
    <row r="89" spans="1:42" x14ac:dyDescent="0.2">
      <c r="A89" s="3" t="s">
        <v>147</v>
      </c>
      <c r="B89" s="320">
        <f t="shared" si="56"/>
        <v>4.244305418852555E-2</v>
      </c>
      <c r="C89" s="320"/>
      <c r="D89" s="5">
        <v>382768483</v>
      </c>
      <c r="E89" s="5">
        <v>414347145</v>
      </c>
      <c r="F89" s="1">
        <f t="shared" si="57"/>
        <v>8.2500684885280909E-2</v>
      </c>
      <c r="G89" s="5">
        <v>459949456</v>
      </c>
      <c r="H89" s="1">
        <f t="shared" si="58"/>
        <v>0.11005822424575895</v>
      </c>
      <c r="I89" s="236">
        <v>484836880</v>
      </c>
      <c r="J89" s="1">
        <f t="shared" si="59"/>
        <v>5.4109041059502851E-2</v>
      </c>
      <c r="K89" s="5">
        <v>504135178</v>
      </c>
      <c r="L89" s="1">
        <f t="shared" si="60"/>
        <v>3.9803692326375831E-2</v>
      </c>
      <c r="M89" s="5">
        <v>511638607.33333331</v>
      </c>
      <c r="N89" s="1">
        <f t="shared" si="60"/>
        <v>1.4883764634518945E-2</v>
      </c>
      <c r="O89" s="5">
        <v>510292254</v>
      </c>
      <c r="P89" s="1">
        <f t="shared" si="60"/>
        <v>-2.6314537527778125E-3</v>
      </c>
      <c r="Q89" s="5">
        <v>519146412.21000212</v>
      </c>
      <c r="R89" s="1">
        <f t="shared" si="60"/>
        <v>1.7351151503079889E-2</v>
      </c>
      <c r="S89" s="236">
        <v>557216754</v>
      </c>
      <c r="T89" s="1">
        <f t="shared" si="60"/>
        <v>7.3332572265948512E-2</v>
      </c>
      <c r="U89" s="262">
        <v>569122127</v>
      </c>
      <c r="V89" s="1">
        <f t="shared" si="61"/>
        <v>2.1365784346103849E-2</v>
      </c>
      <c r="W89" s="262">
        <v>601403587.87569356</v>
      </c>
      <c r="X89" s="1">
        <f t="shared" si="62"/>
        <v>5.6721500261917523E-2</v>
      </c>
      <c r="Y89" s="262">
        <v>649888984</v>
      </c>
      <c r="Z89" s="1">
        <f t="shared" si="62"/>
        <v>8.0620397187134971E-2</v>
      </c>
      <c r="AA89" s="262">
        <v>737147146</v>
      </c>
      <c r="AB89" s="1">
        <f t="shared" si="63"/>
        <v>0.13426625800445943</v>
      </c>
      <c r="AC89" s="262">
        <v>775035425</v>
      </c>
      <c r="AD89" s="1">
        <f t="shared" si="64"/>
        <v>5.1398529052976892E-2</v>
      </c>
      <c r="AE89" s="262">
        <v>838759510</v>
      </c>
      <c r="AF89" s="1">
        <f t="shared" si="65"/>
        <v>8.2220867517120266E-2</v>
      </c>
      <c r="AG89" s="262">
        <v>826259355</v>
      </c>
      <c r="AH89" s="1">
        <f t="shared" si="66"/>
        <v>-1.4903145479685827E-2</v>
      </c>
      <c r="AI89" s="262">
        <v>878369297</v>
      </c>
      <c r="AJ89" s="1">
        <f t="shared" si="67"/>
        <v>6.3067294409029723E-2</v>
      </c>
      <c r="AK89" s="262">
        <v>908508655</v>
      </c>
      <c r="AL89" s="1">
        <f t="shared" si="68"/>
        <v>3.4312854630664531E-2</v>
      </c>
      <c r="AM89" s="262">
        <v>1011684962</v>
      </c>
      <c r="AN89" s="1">
        <f t="shared" si="69"/>
        <v>0.11356667482710993</v>
      </c>
      <c r="AO89" s="262">
        <v>1028045519</v>
      </c>
      <c r="AP89" s="1">
        <f t="shared" si="47"/>
        <v>1.617159255550939E-2</v>
      </c>
    </row>
    <row r="90" spans="1:42" x14ac:dyDescent="0.2">
      <c r="B90" s="320"/>
      <c r="C90" s="320"/>
      <c r="D90" s="5"/>
      <c r="F90" s="5"/>
      <c r="J90" s="1"/>
      <c r="L90" s="1"/>
      <c r="N90" s="1"/>
      <c r="P90" s="1"/>
      <c r="R90" s="1"/>
      <c r="T90" s="1"/>
      <c r="V90" s="1"/>
      <c r="X90" s="1"/>
      <c r="Z90" s="1"/>
      <c r="AB90" s="1"/>
      <c r="AD90" s="1"/>
      <c r="AF90" s="1"/>
      <c r="AH90" s="1"/>
      <c r="AJ90" s="1"/>
      <c r="AL90" s="1"/>
      <c r="AN90" s="1"/>
      <c r="AO90" s="262"/>
      <c r="AP90" s="1"/>
    </row>
    <row r="91" spans="1:42" x14ac:dyDescent="0.2">
      <c r="B91" s="320"/>
      <c r="C91" s="320"/>
      <c r="D91" s="5"/>
      <c r="F91" s="5"/>
      <c r="J91" s="1"/>
      <c r="L91" s="1"/>
      <c r="N91" s="1"/>
      <c r="P91" s="1"/>
      <c r="R91" s="1"/>
      <c r="T91" s="1"/>
      <c r="V91" s="1"/>
      <c r="X91" s="1"/>
      <c r="Z91" s="1"/>
      <c r="AB91" s="1"/>
      <c r="AD91" s="1"/>
      <c r="AF91" s="1"/>
      <c r="AH91" s="1"/>
      <c r="AJ91" s="1"/>
      <c r="AL91" s="1"/>
      <c r="AN91" s="1"/>
      <c r="AO91" s="262"/>
      <c r="AP91" s="1"/>
    </row>
    <row r="92" spans="1:42" x14ac:dyDescent="0.2">
      <c r="B92" s="320"/>
      <c r="C92" s="320"/>
      <c r="D92" s="5"/>
      <c r="F92" s="5"/>
      <c r="J92" s="1"/>
      <c r="L92" s="1"/>
      <c r="N92" s="1"/>
      <c r="P92" s="1"/>
      <c r="R92" s="1"/>
      <c r="T92" s="1"/>
      <c r="V92" s="1"/>
      <c r="X92" s="1"/>
      <c r="Z92" s="1"/>
      <c r="AB92" s="1"/>
      <c r="AD92" s="1"/>
      <c r="AF92" s="1"/>
      <c r="AH92" s="1"/>
      <c r="AJ92" s="1"/>
      <c r="AL92" s="1"/>
      <c r="AN92" s="1"/>
      <c r="AO92" s="262"/>
      <c r="AP92" s="1"/>
    </row>
    <row r="93" spans="1:42" x14ac:dyDescent="0.2">
      <c r="A93" s="3" t="s">
        <v>11</v>
      </c>
      <c r="B93" s="320">
        <f t="shared" ref="B93:B95" si="70">SUM((AL93+AN93+AP93+AJ93+AH93)/5)</f>
        <v>4.0968693054518959E-2</v>
      </c>
      <c r="C93" s="320">
        <f>[1]Population!O87</f>
        <v>2.8398573973923034E-3</v>
      </c>
      <c r="D93" s="5">
        <v>43325402</v>
      </c>
      <c r="E93" s="5">
        <v>47613158</v>
      </c>
      <c r="F93" s="1">
        <f>SUM((E93-D93)/D93)</f>
        <v>9.8966329267989248E-2</v>
      </c>
      <c r="G93" s="5">
        <v>42358031</v>
      </c>
      <c r="H93" s="1">
        <f>SUM((G93-E93)/E93)</f>
        <v>-0.11037131794534612</v>
      </c>
      <c r="I93" s="236">
        <v>43201777</v>
      </c>
      <c r="J93" s="1">
        <f>SUM((I93-G93)/G93)</f>
        <v>1.9919386715591195E-2</v>
      </c>
      <c r="K93" s="5">
        <v>46087084</v>
      </c>
      <c r="L93" s="1">
        <f>SUM((K93-I93)/I93)</f>
        <v>6.6786766664713809E-2</v>
      </c>
      <c r="M93" s="5">
        <v>46311466</v>
      </c>
      <c r="N93" s="1">
        <f>SUM((M93-K93)/K93)</f>
        <v>4.8686525708591154E-3</v>
      </c>
      <c r="O93" s="5">
        <v>43250257</v>
      </c>
      <c r="P93" s="1">
        <f>SUM((O93-M93)/M93)</f>
        <v>-6.6100455554570434E-2</v>
      </c>
      <c r="Q93" s="5">
        <v>38253041.000003599</v>
      </c>
      <c r="R93" s="1">
        <f>SUM((Q93-O93)/O93)</f>
        <v>-0.11554187990134721</v>
      </c>
      <c r="S93" s="236">
        <v>37621688.666666664</v>
      </c>
      <c r="T93" s="1">
        <f>SUM((S93-Q93)/Q93)</f>
        <v>-1.6504631183096662E-2</v>
      </c>
      <c r="U93" s="262">
        <v>35413695</v>
      </c>
      <c r="V93" s="1">
        <f>SUM((U93-S93)/S93)</f>
        <v>-5.8689382239850839E-2</v>
      </c>
      <c r="W93" s="262">
        <v>41058344.115477689</v>
      </c>
      <c r="X93" s="1">
        <f>SUM((W93-U93)/U93)</f>
        <v>0.15939170186781382</v>
      </c>
      <c r="Y93" s="262">
        <v>43208930</v>
      </c>
      <c r="Z93" s="1">
        <f>SUM((Y93-W93)/W93)</f>
        <v>5.2378777830731096E-2</v>
      </c>
      <c r="AA93" s="262">
        <v>49485128</v>
      </c>
      <c r="AB93" s="1">
        <f>SUM((AA93-Y93)/Y93)</f>
        <v>0.14525233557044806</v>
      </c>
      <c r="AC93" s="262">
        <v>53933955</v>
      </c>
      <c r="AD93" s="1">
        <f>SUM((AC93-AA93)/AA93)</f>
        <v>8.9902303576945383E-2</v>
      </c>
      <c r="AE93" s="262">
        <v>53409652</v>
      </c>
      <c r="AF93" s="1">
        <f>SUM((AE93-AC93)/AC93)</f>
        <v>-9.7212043878480633E-3</v>
      </c>
      <c r="AG93" s="262">
        <v>50608420</v>
      </c>
      <c r="AH93" s="1">
        <f>SUM((AG93-AE93)/AE93)</f>
        <v>-5.2448048154292409E-2</v>
      </c>
      <c r="AI93" s="262">
        <v>56242563</v>
      </c>
      <c r="AJ93" s="1">
        <f>SUM((AI93-AG93)/AG93)</f>
        <v>0.11132817424452295</v>
      </c>
      <c r="AK93" s="262">
        <v>55630265</v>
      </c>
      <c r="AL93" s="1">
        <f>SUM((AK93-AI93)/AI93)</f>
        <v>-1.0886737149585449E-2</v>
      </c>
      <c r="AM93" s="262">
        <v>60122367</v>
      </c>
      <c r="AN93" s="1">
        <f>SUM((AM93-AK93)/AK93)</f>
        <v>8.0749246835333244E-2</v>
      </c>
      <c r="AO93" s="262">
        <v>64697729</v>
      </c>
      <c r="AP93" s="1">
        <f t="shared" si="47"/>
        <v>7.6100829496616465E-2</v>
      </c>
    </row>
    <row r="94" spans="1:42" x14ac:dyDescent="0.2">
      <c r="A94" s="3" t="s">
        <v>148</v>
      </c>
      <c r="B94" s="320">
        <f t="shared" si="70"/>
        <v>-9.909803545912305E-3</v>
      </c>
      <c r="C94" s="320">
        <f>[1]Population!O88</f>
        <v>-4.1587403122531532E-3</v>
      </c>
      <c r="D94" s="5">
        <v>4032660</v>
      </c>
      <c r="E94" s="5">
        <v>4315573</v>
      </c>
      <c r="F94" s="1">
        <f>SUM((E94-D94)/D94)</f>
        <v>7.015543090664722E-2</v>
      </c>
      <c r="G94" s="5">
        <v>4291562</v>
      </c>
      <c r="H94" s="1">
        <f>SUM((G94-E94)/E94)</f>
        <v>-5.5638034624834291E-3</v>
      </c>
      <c r="I94" s="236">
        <v>4328774</v>
      </c>
      <c r="J94" s="1">
        <f>SUM((I94-G94)/G94)</f>
        <v>8.6709687521699559E-3</v>
      </c>
      <c r="K94" s="5">
        <v>4275304</v>
      </c>
      <c r="L94" s="1">
        <f>SUM((K94-I94)/I94)</f>
        <v>-1.2352227212601074E-2</v>
      </c>
      <c r="M94" s="5">
        <v>4578910</v>
      </c>
      <c r="N94" s="1">
        <f>SUM((M94-K94)/K94)</f>
        <v>7.1013897491266118E-2</v>
      </c>
      <c r="O94" s="5">
        <v>4587487</v>
      </c>
      <c r="P94" s="1">
        <f>SUM((O94-M94)/M94)</f>
        <v>1.8731532176871788E-3</v>
      </c>
      <c r="Q94" s="5">
        <v>4567700.6666684672</v>
      </c>
      <c r="R94" s="1">
        <f>SUM((Q94-O94)/O94)</f>
        <v>-4.3131094064207216E-3</v>
      </c>
      <c r="S94" s="236">
        <v>4719027</v>
      </c>
      <c r="T94" s="1">
        <f>SUM((S94-Q94)/Q94)</f>
        <v>3.3129651957229785E-2</v>
      </c>
      <c r="U94" s="262">
        <v>4583315</v>
      </c>
      <c r="V94" s="1">
        <f>SUM((U94-S94)/S94)</f>
        <v>-2.8758470761027645E-2</v>
      </c>
      <c r="W94" s="262">
        <v>5091264.3085674699</v>
      </c>
      <c r="X94" s="1">
        <f>SUM((W94-U94)/U94)</f>
        <v>0.11082574699043594</v>
      </c>
      <c r="Y94" s="262">
        <v>5143106</v>
      </c>
      <c r="Z94" s="1">
        <f>SUM((Y94-W94)/W94)</f>
        <v>1.0182478907113893E-2</v>
      </c>
      <c r="AA94" s="262">
        <v>5525064</v>
      </c>
      <c r="AB94" s="1">
        <f>SUM((AA94-Y94)/Y94)</f>
        <v>7.4266017461043971E-2</v>
      </c>
      <c r="AC94" s="262">
        <v>6207019</v>
      </c>
      <c r="AD94" s="1">
        <f>SUM((AC94-AA94)/AA94)</f>
        <v>0.12342933946104516</v>
      </c>
      <c r="AE94" s="262">
        <v>6207618</v>
      </c>
      <c r="AF94" s="1">
        <f>SUM((AE94-AC94)/AC94)</f>
        <v>9.6503651752959024E-5</v>
      </c>
      <c r="AG94" s="262">
        <v>6196662</v>
      </c>
      <c r="AH94" s="1">
        <f>SUM((AG94-AE94)/AE94)</f>
        <v>-1.7649281898467334E-3</v>
      </c>
      <c r="AI94" s="262">
        <v>5845748</v>
      </c>
      <c r="AJ94" s="1">
        <f>SUM((AI94-AG94)/AG94)</f>
        <v>-5.6629520861392793E-2</v>
      </c>
      <c r="AK94" s="262">
        <v>5709821</v>
      </c>
      <c r="AL94" s="1">
        <f>SUM((AK94-AI94)/AI94)</f>
        <v>-2.3252285250749776E-2</v>
      </c>
      <c r="AM94" s="262">
        <v>5725259</v>
      </c>
      <c r="AN94" s="1">
        <f>SUM((AM94-AK94)/AK94)</f>
        <v>2.7037625172487896E-3</v>
      </c>
      <c r="AO94" s="262">
        <v>5893547</v>
      </c>
      <c r="AP94" s="1">
        <f t="shared" si="47"/>
        <v>2.939395405517899E-2</v>
      </c>
    </row>
    <row r="95" spans="1:42" x14ac:dyDescent="0.2">
      <c r="A95" s="3" t="s">
        <v>149</v>
      </c>
      <c r="B95" s="320">
        <f t="shared" si="70"/>
        <v>3.4403111711909191E-2</v>
      </c>
      <c r="C95" s="320">
        <f>[1]Population!O89</f>
        <v>5.2937808508149872E-2</v>
      </c>
      <c r="D95" s="5">
        <v>4983426</v>
      </c>
      <c r="E95" s="5">
        <v>5990835</v>
      </c>
      <c r="F95" s="1">
        <f>SUM((E95-D95)/D95)</f>
        <v>0.20215189309523207</v>
      </c>
      <c r="G95" s="5">
        <v>4462535</v>
      </c>
      <c r="H95" s="1">
        <f>SUM((G95-E95)/E95)</f>
        <v>-0.25510634160346596</v>
      </c>
      <c r="I95" s="236">
        <v>4730107</v>
      </c>
      <c r="J95" s="1">
        <f>SUM((I95-G95)/G95)</f>
        <v>5.9959641773117744E-2</v>
      </c>
      <c r="K95" s="5">
        <v>4204600</v>
      </c>
      <c r="L95" s="1">
        <f>SUM((K95-I95)/I95)</f>
        <v>-0.11109833244787062</v>
      </c>
      <c r="M95" s="5">
        <v>4113777.3333333335</v>
      </c>
      <c r="N95" s="1">
        <f>SUM((M95-K95)/K95)</f>
        <v>-2.1600786440247946E-2</v>
      </c>
      <c r="O95" s="5">
        <v>3992300</v>
      </c>
      <c r="P95" s="1">
        <f>SUM((O95-M95)/M95)</f>
        <v>-2.9529389534290178E-2</v>
      </c>
      <c r="Q95" s="5">
        <v>3667355.6666684668</v>
      </c>
      <c r="R95" s="1">
        <f>SUM((Q95-O95)/O95)</f>
        <v>-8.1392764404361703E-2</v>
      </c>
      <c r="S95" s="236">
        <v>3396148.3333333335</v>
      </c>
      <c r="T95" s="1">
        <f>SUM((S95-Q95)/Q95)</f>
        <v>-7.3951740159826376E-2</v>
      </c>
      <c r="U95" s="262">
        <v>3027521</v>
      </c>
      <c r="V95" s="1">
        <f>SUM((U95-S95)/S95)</f>
        <v>-0.10854276584895933</v>
      </c>
      <c r="W95" s="262">
        <v>3283661.7885583038</v>
      </c>
      <c r="X95" s="1">
        <f>SUM((W95-U95)/U95)</f>
        <v>8.4604132740385238E-2</v>
      </c>
      <c r="Y95" s="262">
        <v>2907824</v>
      </c>
      <c r="Z95" s="1">
        <f>SUM((Y95-W95)/W95)</f>
        <v>-0.11445691205710803</v>
      </c>
      <c r="AA95" s="262">
        <v>3110016</v>
      </c>
      <c r="AB95" s="1">
        <f>SUM((AA95-Y95)/Y95)</f>
        <v>6.9533781962044475E-2</v>
      </c>
      <c r="AC95" s="262">
        <v>3047332</v>
      </c>
      <c r="AD95" s="1">
        <f>SUM((AC95-AA95)/AA95)</f>
        <v>-2.0155523315635675E-2</v>
      </c>
      <c r="AE95" s="262">
        <v>3664926</v>
      </c>
      <c r="AF95" s="1">
        <f>SUM((AE95-AC95)/AC95)</f>
        <v>0.20266711995936118</v>
      </c>
      <c r="AG95" s="262">
        <v>4073996</v>
      </c>
      <c r="AH95" s="1">
        <f>SUM((AG95-AE95)/AE95)</f>
        <v>0.11161753334173732</v>
      </c>
      <c r="AI95" s="262">
        <v>5573128</v>
      </c>
      <c r="AJ95" s="1">
        <f>SUM((AI95-AG95)/AG95)</f>
        <v>0.36797581539108043</v>
      </c>
      <c r="AK95" s="262">
        <v>4085376</v>
      </c>
      <c r="AL95" s="1">
        <f>SUM((AK95-AI95)/AI95)</f>
        <v>-0.26695098336158796</v>
      </c>
      <c r="AM95" s="262">
        <v>4263573</v>
      </c>
      <c r="AN95" s="1">
        <f>SUM((AM95-AK95)/AK95)</f>
        <v>4.3618261819719902E-2</v>
      </c>
      <c r="AO95" s="262">
        <v>3904388</v>
      </c>
      <c r="AP95" s="1">
        <f t="shared" si="47"/>
        <v>-8.4245068631403755E-2</v>
      </c>
    </row>
    <row r="96" spans="1:42" x14ac:dyDescent="0.2">
      <c r="B96" s="320"/>
      <c r="C96" s="320"/>
      <c r="D96" s="5"/>
      <c r="F96" s="5"/>
      <c r="J96" s="1"/>
      <c r="L96" s="1"/>
      <c r="N96" s="1"/>
      <c r="P96" s="1"/>
      <c r="R96" s="1"/>
      <c r="T96" s="1"/>
      <c r="V96" s="1"/>
      <c r="X96" s="1"/>
      <c r="Z96" s="1"/>
      <c r="AB96" s="1"/>
      <c r="AD96" s="1"/>
      <c r="AF96" s="1"/>
      <c r="AH96" s="1"/>
      <c r="AJ96" s="1"/>
      <c r="AL96" s="1"/>
      <c r="AN96" s="1"/>
      <c r="AO96" s="262"/>
      <c r="AP96" s="1"/>
    </row>
    <row r="97" spans="1:42" x14ac:dyDescent="0.2">
      <c r="B97" s="320"/>
      <c r="C97" s="320"/>
      <c r="D97" s="5"/>
      <c r="F97" s="5"/>
      <c r="J97" s="1"/>
      <c r="L97" s="1"/>
      <c r="N97" s="1"/>
      <c r="P97" s="1"/>
      <c r="R97" s="1"/>
      <c r="T97" s="1"/>
      <c r="V97" s="1"/>
      <c r="X97" s="1"/>
      <c r="Z97" s="1"/>
      <c r="AB97" s="1"/>
      <c r="AD97" s="1"/>
      <c r="AF97" s="1"/>
      <c r="AH97" s="1"/>
      <c r="AJ97" s="1"/>
      <c r="AL97" s="1"/>
      <c r="AN97" s="1"/>
      <c r="AO97" s="262"/>
      <c r="AP97" s="1"/>
    </row>
    <row r="98" spans="1:42" x14ac:dyDescent="0.2">
      <c r="B98" s="320"/>
      <c r="C98" s="320"/>
      <c r="D98" s="5"/>
      <c r="F98" s="5"/>
      <c r="J98" s="1"/>
      <c r="L98" s="1"/>
      <c r="N98" s="1"/>
      <c r="P98" s="1"/>
      <c r="R98" s="1"/>
      <c r="T98" s="1"/>
      <c r="V98" s="1"/>
      <c r="X98" s="1"/>
      <c r="Z98" s="1"/>
      <c r="AB98" s="1"/>
      <c r="AD98" s="1"/>
      <c r="AF98" s="1"/>
      <c r="AH98" s="1"/>
      <c r="AJ98" s="1"/>
      <c r="AL98" s="1"/>
      <c r="AN98" s="1"/>
      <c r="AO98" s="262"/>
      <c r="AP98" s="1"/>
    </row>
    <row r="99" spans="1:42" x14ac:dyDescent="0.2">
      <c r="A99" s="3" t="s">
        <v>150</v>
      </c>
      <c r="B99" s="320">
        <f t="shared" ref="B99:B104" si="71">SUM((AL99+AN99+AP99+AJ99+AH99)/5)</f>
        <v>6.0997873824421046E-2</v>
      </c>
      <c r="C99" s="320">
        <f>[1]Population!O93</f>
        <v>1.0684570592105775E-2</v>
      </c>
      <c r="D99" s="5">
        <v>436413947</v>
      </c>
      <c r="E99" s="5">
        <v>442427183</v>
      </c>
      <c r="F99" s="1">
        <f t="shared" ref="F99:F104" si="72">SUM((E99-D99)/D99)</f>
        <v>1.3778743876854146E-2</v>
      </c>
      <c r="G99" s="5">
        <v>441288287</v>
      </c>
      <c r="H99" s="1">
        <f t="shared" ref="H99:H104" si="73">SUM((G99-E99)/E99)</f>
        <v>-2.5741998768642567E-3</v>
      </c>
      <c r="I99" s="236">
        <v>399005334</v>
      </c>
      <c r="J99" s="1">
        <f t="shared" ref="J99:J104" si="74">SUM((I99-G99)/G99)</f>
        <v>-9.5817075244510178E-2</v>
      </c>
      <c r="K99" s="5">
        <v>425397614</v>
      </c>
      <c r="L99" s="1">
        <f t="shared" ref="L99:T104" si="75">SUM((K99-I99)/I99)</f>
        <v>6.6145180906278314E-2</v>
      </c>
      <c r="M99" s="5">
        <v>422753802</v>
      </c>
      <c r="N99" s="1">
        <f t="shared" si="75"/>
        <v>-6.2149196727746573E-3</v>
      </c>
      <c r="O99" s="5">
        <v>253421803</v>
      </c>
      <c r="P99" s="1">
        <f t="shared" si="75"/>
        <v>-0.4005451830330316</v>
      </c>
      <c r="Q99" s="5">
        <v>330127400.33334428</v>
      </c>
      <c r="R99" s="1">
        <f t="shared" si="75"/>
        <v>0.30267955016224191</v>
      </c>
      <c r="S99" s="236">
        <v>353937045.66666669</v>
      </c>
      <c r="T99" s="1">
        <f t="shared" si="75"/>
        <v>7.2122596637785141E-2</v>
      </c>
      <c r="U99" s="262">
        <v>289002607</v>
      </c>
      <c r="V99" s="1">
        <f t="shared" ref="V99:V104" si="76">SUM((U99-S99)/S99)</f>
        <v>-0.18346324427373195</v>
      </c>
      <c r="W99" s="262">
        <v>382608227.19590503</v>
      </c>
      <c r="X99" s="1">
        <f t="shared" ref="X99:Z104" si="77">SUM((W99-U99)/U99)</f>
        <v>0.32389195781858476</v>
      </c>
      <c r="Y99" s="262">
        <v>427781488</v>
      </c>
      <c r="Z99" s="1">
        <f t="shared" si="77"/>
        <v>0.11806662165935372</v>
      </c>
      <c r="AA99" s="262">
        <v>574197509</v>
      </c>
      <c r="AB99" s="1">
        <f t="shared" ref="AB99:AB104" si="78">SUM((AA99-Y99)/Y99)</f>
        <v>0.34226824934509553</v>
      </c>
      <c r="AC99" s="262">
        <v>677479257</v>
      </c>
      <c r="AD99" s="1">
        <f t="shared" ref="AD99:AD104" si="79">SUM((AC99-AA99)/AA99)</f>
        <v>0.17987146649220312</v>
      </c>
      <c r="AE99" s="262">
        <v>658235103</v>
      </c>
      <c r="AF99" s="1">
        <f t="shared" ref="AF99:AF104" si="80">SUM((AE99-AC99)/AC99)</f>
        <v>-2.8405525041779987E-2</v>
      </c>
      <c r="AG99" s="262">
        <v>586205370</v>
      </c>
      <c r="AH99" s="1">
        <f t="shared" ref="AH99:AH104" si="81">SUM((AG99-AE99)/AE99)</f>
        <v>-0.10942858056599269</v>
      </c>
      <c r="AI99" s="262">
        <v>605873929</v>
      </c>
      <c r="AJ99" s="1">
        <f t="shared" ref="AJ99:AJ104" si="82">SUM((AI99-AG99)/AG99)</f>
        <v>3.3552335080110234E-2</v>
      </c>
      <c r="AK99" s="262">
        <v>636360057</v>
      </c>
      <c r="AL99" s="1">
        <f t="shared" ref="AL99:AL104" si="83">SUM((AK99-AI99)/AI99)</f>
        <v>5.0317609886792139E-2</v>
      </c>
      <c r="AM99" s="262">
        <v>755497987</v>
      </c>
      <c r="AN99" s="1">
        <f t="shared" ref="AN99:AN104" si="84">SUM((AM99-AK99)/AK99)</f>
        <v>0.18721780018949241</v>
      </c>
      <c r="AO99" s="262">
        <v>863783668</v>
      </c>
      <c r="AP99" s="1">
        <f t="shared" si="47"/>
        <v>0.14333020453170314</v>
      </c>
    </row>
    <row r="100" spans="1:42" x14ac:dyDescent="0.2">
      <c r="A100" s="3" t="s">
        <v>151</v>
      </c>
      <c r="B100" s="320">
        <f t="shared" si="71"/>
        <v>5.1962257253728106E-2</v>
      </c>
      <c r="C100" s="320">
        <f>[1]Population!O94</f>
        <v>-1.384522068561315E-2</v>
      </c>
      <c r="D100" s="5">
        <v>2315005</v>
      </c>
      <c r="E100" s="5">
        <v>2374890</v>
      </c>
      <c r="F100" s="1">
        <f t="shared" si="72"/>
        <v>2.5868194669125984E-2</v>
      </c>
      <c r="G100" s="5">
        <v>2913765</v>
      </c>
      <c r="H100" s="1">
        <f t="shared" si="73"/>
        <v>0.22690524613771584</v>
      </c>
      <c r="I100" s="236">
        <v>3405773</v>
      </c>
      <c r="J100" s="1">
        <f t="shared" si="74"/>
        <v>0.16885644518346538</v>
      </c>
      <c r="K100" s="5">
        <v>3348579</v>
      </c>
      <c r="L100" s="1">
        <f t="shared" si="75"/>
        <v>-1.679325075394044E-2</v>
      </c>
      <c r="M100" s="5">
        <v>3319096</v>
      </c>
      <c r="N100" s="1">
        <f t="shared" si="75"/>
        <v>-8.8046302625680931E-3</v>
      </c>
      <c r="O100" s="5">
        <v>3158437</v>
      </c>
      <c r="P100" s="1">
        <f t="shared" si="75"/>
        <v>-4.8404445065764898E-2</v>
      </c>
      <c r="Q100" s="5">
        <v>3209582.0000037001</v>
      </c>
      <c r="R100" s="1">
        <f t="shared" si="75"/>
        <v>1.6193136036495311E-2</v>
      </c>
      <c r="S100" s="236">
        <v>3176349</v>
      </c>
      <c r="T100" s="1">
        <f t="shared" si="75"/>
        <v>-1.0354307820663822E-2</v>
      </c>
      <c r="U100" s="262">
        <v>2993960</v>
      </c>
      <c r="V100" s="1">
        <f t="shared" si="76"/>
        <v>-5.7420957205898973E-2</v>
      </c>
      <c r="W100" s="262">
        <v>2901182.5283898977</v>
      </c>
      <c r="X100" s="1">
        <f t="shared" si="77"/>
        <v>-3.0988213473160074E-2</v>
      </c>
      <c r="Y100" s="262">
        <v>3189934</v>
      </c>
      <c r="Z100" s="1">
        <f t="shared" si="77"/>
        <v>9.9528888232466375E-2</v>
      </c>
      <c r="AA100" s="262">
        <v>3067671</v>
      </c>
      <c r="AB100" s="1">
        <f t="shared" si="78"/>
        <v>-3.8327752235626192E-2</v>
      </c>
      <c r="AC100" s="262">
        <v>3102022</v>
      </c>
      <c r="AD100" s="1">
        <f t="shared" si="79"/>
        <v>1.1197745781734743E-2</v>
      </c>
      <c r="AE100" s="262">
        <v>3122815</v>
      </c>
      <c r="AF100" s="1">
        <f t="shared" si="80"/>
        <v>6.703047238220748E-3</v>
      </c>
      <c r="AG100" s="262">
        <v>3528675</v>
      </c>
      <c r="AH100" s="1">
        <f t="shared" si="81"/>
        <v>0.1299660722777366</v>
      </c>
      <c r="AI100" s="262">
        <v>3573055</v>
      </c>
      <c r="AJ100" s="1">
        <f t="shared" si="82"/>
        <v>1.2576958773477297E-2</v>
      </c>
      <c r="AK100" s="262">
        <v>4116191</v>
      </c>
      <c r="AL100" s="1">
        <f t="shared" si="83"/>
        <v>0.15200885516735679</v>
      </c>
      <c r="AM100" s="262">
        <v>3886676</v>
      </c>
      <c r="AN100" s="1">
        <f t="shared" si="84"/>
        <v>-5.5759074348104835E-2</v>
      </c>
      <c r="AO100" s="262">
        <v>3968368</v>
      </c>
      <c r="AP100" s="1">
        <f t="shared" si="47"/>
        <v>2.1018474398174686E-2</v>
      </c>
    </row>
    <row r="101" spans="1:42" x14ac:dyDescent="0.2">
      <c r="A101" s="3" t="s">
        <v>12</v>
      </c>
      <c r="B101" s="320">
        <f t="shared" si="71"/>
        <v>6.5685192173919799E-2</v>
      </c>
      <c r="C101" s="320">
        <f>[1]Population!O95</f>
        <v>1.342595205910454E-2</v>
      </c>
      <c r="D101" s="5">
        <v>4750567</v>
      </c>
      <c r="E101" s="5">
        <v>5025266</v>
      </c>
      <c r="F101" s="1">
        <f t="shared" si="72"/>
        <v>5.78244660058473E-2</v>
      </c>
      <c r="G101" s="5">
        <v>5816063</v>
      </c>
      <c r="H101" s="1">
        <f t="shared" si="73"/>
        <v>0.1573642071882364</v>
      </c>
      <c r="I101" s="236">
        <v>6601196</v>
      </c>
      <c r="J101" s="1">
        <f t="shared" si="74"/>
        <v>0.13499389535498499</v>
      </c>
      <c r="K101" s="5">
        <v>6831498</v>
      </c>
      <c r="L101" s="1">
        <f t="shared" si="75"/>
        <v>3.4887920310198335E-2</v>
      </c>
      <c r="M101" s="5">
        <v>6735787</v>
      </c>
      <c r="N101" s="1">
        <f t="shared" si="75"/>
        <v>-1.4010250753202299E-2</v>
      </c>
      <c r="O101" s="5">
        <v>7024157.666666667</v>
      </c>
      <c r="P101" s="1">
        <f t="shared" si="75"/>
        <v>4.2811725885433576E-2</v>
      </c>
      <c r="Q101" s="5">
        <v>7314310.0000034999</v>
      </c>
      <c r="R101" s="1">
        <f t="shared" si="75"/>
        <v>4.130777626387272E-2</v>
      </c>
      <c r="S101" s="236">
        <v>7531368.666666667</v>
      </c>
      <c r="T101" s="1">
        <f t="shared" si="75"/>
        <v>2.9675891049608671E-2</v>
      </c>
      <c r="U101" s="262">
        <v>8252623</v>
      </c>
      <c r="V101" s="1">
        <f t="shared" si="76"/>
        <v>9.5766701280413521E-2</v>
      </c>
      <c r="W101" s="262">
        <v>8930896.8081320003</v>
      </c>
      <c r="X101" s="1">
        <f t="shared" si="77"/>
        <v>8.2188875964890232E-2</v>
      </c>
      <c r="Y101" s="262">
        <v>8198842</v>
      </c>
      <c r="Z101" s="1">
        <f t="shared" si="77"/>
        <v>-8.196879035321851E-2</v>
      </c>
      <c r="AA101" s="262">
        <v>9505633</v>
      </c>
      <c r="AB101" s="1">
        <f t="shared" si="78"/>
        <v>0.15938726468933051</v>
      </c>
      <c r="AC101" s="262">
        <v>10079618</v>
      </c>
      <c r="AD101" s="1">
        <f t="shared" si="79"/>
        <v>6.0383669346375984E-2</v>
      </c>
      <c r="AE101" s="262">
        <v>10343192</v>
      </c>
      <c r="AF101" s="1">
        <f t="shared" si="80"/>
        <v>2.6149205257580199E-2</v>
      </c>
      <c r="AG101" s="262">
        <v>10414209</v>
      </c>
      <c r="AH101" s="1">
        <f t="shared" si="81"/>
        <v>6.8660622368800659E-3</v>
      </c>
      <c r="AI101" s="262">
        <v>10161735</v>
      </c>
      <c r="AJ101" s="1">
        <f t="shared" si="82"/>
        <v>-2.4243223849262099E-2</v>
      </c>
      <c r="AK101" s="262">
        <v>13307542</v>
      </c>
      <c r="AL101" s="1">
        <f t="shared" si="83"/>
        <v>0.30957380801605239</v>
      </c>
      <c r="AM101" s="262">
        <v>13310678</v>
      </c>
      <c r="AN101" s="1">
        <f t="shared" si="84"/>
        <v>2.3565584087579809E-4</v>
      </c>
      <c r="AO101" s="262">
        <v>13789778</v>
      </c>
      <c r="AP101" s="1">
        <f t="shared" si="47"/>
        <v>3.5993658625052757E-2</v>
      </c>
    </row>
    <row r="102" spans="1:42" x14ac:dyDescent="0.2">
      <c r="A102" s="3" t="s">
        <v>152</v>
      </c>
      <c r="B102" s="320">
        <f t="shared" si="71"/>
        <v>3.3449967294257678E-2</v>
      </c>
      <c r="C102" s="320"/>
      <c r="D102" s="5">
        <v>7958061</v>
      </c>
      <c r="E102" s="5">
        <v>8468536</v>
      </c>
      <c r="F102" s="1">
        <f t="shared" si="72"/>
        <v>6.4145650554827363E-2</v>
      </c>
      <c r="G102" s="5">
        <v>8501580</v>
      </c>
      <c r="H102" s="1">
        <f t="shared" si="73"/>
        <v>3.9019731391588819E-3</v>
      </c>
      <c r="I102" s="236">
        <v>9359742</v>
      </c>
      <c r="J102" s="1">
        <f t="shared" si="74"/>
        <v>0.10094147205578258</v>
      </c>
      <c r="K102" s="5">
        <v>9557471</v>
      </c>
      <c r="L102" s="1">
        <f t="shared" si="75"/>
        <v>2.1125475467165655E-2</v>
      </c>
      <c r="M102" s="5">
        <v>10020224</v>
      </c>
      <c r="N102" s="1">
        <f t="shared" si="75"/>
        <v>4.8417933991115429E-2</v>
      </c>
      <c r="O102" s="5">
        <v>9801785</v>
      </c>
      <c r="P102" s="1">
        <f t="shared" si="75"/>
        <v>-2.1799812060089675E-2</v>
      </c>
      <c r="Q102" s="5">
        <v>10134867.333337033</v>
      </c>
      <c r="R102" s="1">
        <f t="shared" si="75"/>
        <v>3.3981803654847882E-2</v>
      </c>
      <c r="S102" s="236">
        <v>10450210.666666666</v>
      </c>
      <c r="T102" s="1">
        <f t="shared" si="75"/>
        <v>3.1114697702293661E-2</v>
      </c>
      <c r="U102" s="262">
        <v>10576635</v>
      </c>
      <c r="V102" s="1">
        <f t="shared" si="76"/>
        <v>1.2097778443509588E-2</v>
      </c>
      <c r="W102" s="262">
        <v>11189724.180774556</v>
      </c>
      <c r="X102" s="1">
        <f t="shared" si="77"/>
        <v>5.796637406647355E-2</v>
      </c>
      <c r="Y102" s="262">
        <v>11927317</v>
      </c>
      <c r="Z102" s="1">
        <f t="shared" si="77"/>
        <v>6.5916979481292909E-2</v>
      </c>
      <c r="AA102" s="262">
        <v>12671119</v>
      </c>
      <c r="AB102" s="1">
        <f t="shared" si="78"/>
        <v>6.236121669273987E-2</v>
      </c>
      <c r="AC102" s="262">
        <v>14512180</v>
      </c>
      <c r="AD102" s="1">
        <f t="shared" si="79"/>
        <v>0.1452958495615107</v>
      </c>
      <c r="AE102" s="262">
        <v>16044534</v>
      </c>
      <c r="AF102" s="1">
        <f t="shared" si="80"/>
        <v>0.10559088985941464</v>
      </c>
      <c r="AG102" s="262">
        <v>15016524</v>
      </c>
      <c r="AH102" s="1">
        <f t="shared" si="81"/>
        <v>-6.4072287795955932E-2</v>
      </c>
      <c r="AI102" s="262">
        <v>16053799</v>
      </c>
      <c r="AJ102" s="1">
        <f t="shared" si="82"/>
        <v>6.9075573015432865E-2</v>
      </c>
      <c r="AK102" s="262">
        <v>16158941</v>
      </c>
      <c r="AL102" s="1">
        <f t="shared" si="83"/>
        <v>6.5493532091687456E-3</v>
      </c>
      <c r="AM102" s="262">
        <v>17811153</v>
      </c>
      <c r="AN102" s="1">
        <f t="shared" si="84"/>
        <v>0.10224754208830888</v>
      </c>
      <c r="AO102" s="262">
        <v>18763153</v>
      </c>
      <c r="AP102" s="1">
        <f t="shared" si="47"/>
        <v>5.3449655954333784E-2</v>
      </c>
    </row>
    <row r="103" spans="1:42" x14ac:dyDescent="0.2">
      <c r="A103" s="3" t="s">
        <v>153</v>
      </c>
      <c r="B103" s="320">
        <f t="shared" si="71"/>
        <v>3.3449967294257678E-2</v>
      </c>
      <c r="C103" s="320"/>
      <c r="D103" s="5">
        <v>7958061</v>
      </c>
      <c r="E103" s="5">
        <v>8468536</v>
      </c>
      <c r="F103" s="1">
        <f t="shared" si="72"/>
        <v>6.4145650554827363E-2</v>
      </c>
      <c r="G103" s="5">
        <v>8501580</v>
      </c>
      <c r="H103" s="1">
        <f t="shared" si="73"/>
        <v>3.9019731391588819E-3</v>
      </c>
      <c r="I103" s="236">
        <v>9359742</v>
      </c>
      <c r="J103" s="1">
        <f t="shared" si="74"/>
        <v>0.10094147205578258</v>
      </c>
      <c r="K103" s="5">
        <v>9557471</v>
      </c>
      <c r="L103" s="1">
        <f t="shared" si="75"/>
        <v>2.1125475467165655E-2</v>
      </c>
      <c r="M103" s="5">
        <v>10020224</v>
      </c>
      <c r="N103" s="1">
        <f t="shared" si="75"/>
        <v>4.8417933991115429E-2</v>
      </c>
      <c r="O103" s="5">
        <v>9801785</v>
      </c>
      <c r="P103" s="1">
        <f t="shared" si="75"/>
        <v>-2.1799812060089675E-2</v>
      </c>
      <c r="Q103" s="5">
        <v>10134867.333337033</v>
      </c>
      <c r="R103" s="1">
        <f t="shared" si="75"/>
        <v>3.3981803654847882E-2</v>
      </c>
      <c r="S103" s="236">
        <v>10450210.666666666</v>
      </c>
      <c r="T103" s="1">
        <f t="shared" si="75"/>
        <v>3.1114697702293661E-2</v>
      </c>
      <c r="U103" s="262">
        <v>10576635</v>
      </c>
      <c r="V103" s="1">
        <f t="shared" si="76"/>
        <v>1.2097778443509588E-2</v>
      </c>
      <c r="W103" s="262">
        <v>11189724.180774556</v>
      </c>
      <c r="X103" s="1">
        <f t="shared" si="77"/>
        <v>5.796637406647355E-2</v>
      </c>
      <c r="Y103" s="262">
        <v>11927317</v>
      </c>
      <c r="Z103" s="1">
        <f t="shared" si="77"/>
        <v>6.5916979481292909E-2</v>
      </c>
      <c r="AA103" s="262">
        <v>12671119</v>
      </c>
      <c r="AB103" s="1">
        <f t="shared" si="78"/>
        <v>6.236121669273987E-2</v>
      </c>
      <c r="AC103" s="262">
        <v>14512180</v>
      </c>
      <c r="AD103" s="1">
        <f t="shared" si="79"/>
        <v>0.1452958495615107</v>
      </c>
      <c r="AE103" s="262">
        <v>16044534</v>
      </c>
      <c r="AF103" s="1">
        <f t="shared" si="80"/>
        <v>0.10559088985941464</v>
      </c>
      <c r="AG103" s="262">
        <v>15016524</v>
      </c>
      <c r="AH103" s="1">
        <f t="shared" si="81"/>
        <v>-6.4072287795955932E-2</v>
      </c>
      <c r="AI103" s="262">
        <v>16053799</v>
      </c>
      <c r="AJ103" s="1">
        <f t="shared" si="82"/>
        <v>6.9075573015432865E-2</v>
      </c>
      <c r="AK103" s="262">
        <v>16158941</v>
      </c>
      <c r="AL103" s="1">
        <f t="shared" si="83"/>
        <v>6.5493532091687456E-3</v>
      </c>
      <c r="AM103" s="262">
        <v>17811153</v>
      </c>
      <c r="AN103" s="1">
        <f t="shared" si="84"/>
        <v>0.10224754208830888</v>
      </c>
      <c r="AO103" s="262">
        <v>18763153</v>
      </c>
      <c r="AP103" s="1">
        <f t="shared" si="47"/>
        <v>5.3449655954333784E-2</v>
      </c>
    </row>
    <row r="104" spans="1:42" x14ac:dyDescent="0.2">
      <c r="A104" s="3" t="s">
        <v>154</v>
      </c>
      <c r="B104" s="320">
        <f t="shared" si="71"/>
        <v>6.0997873824421046E-2</v>
      </c>
      <c r="C104" s="320"/>
      <c r="D104" s="5">
        <v>436413947</v>
      </c>
      <c r="E104" s="5">
        <v>442427183</v>
      </c>
      <c r="F104" s="1">
        <f t="shared" si="72"/>
        <v>1.3778743876854146E-2</v>
      </c>
      <c r="G104" s="5">
        <v>441288287</v>
      </c>
      <c r="H104" s="1">
        <f t="shared" si="73"/>
        <v>-2.5741998768642567E-3</v>
      </c>
      <c r="I104" s="236">
        <v>399005334</v>
      </c>
      <c r="J104" s="1">
        <f t="shared" si="74"/>
        <v>-9.5817075244510178E-2</v>
      </c>
      <c r="K104" s="5">
        <v>425397614</v>
      </c>
      <c r="L104" s="1">
        <f t="shared" si="75"/>
        <v>6.6145180906278314E-2</v>
      </c>
      <c r="M104" s="5">
        <v>422753802</v>
      </c>
      <c r="N104" s="1">
        <f t="shared" si="75"/>
        <v>-6.2149196727746573E-3</v>
      </c>
      <c r="O104" s="5">
        <v>253421803</v>
      </c>
      <c r="P104" s="1">
        <f t="shared" si="75"/>
        <v>-0.4005451830330316</v>
      </c>
      <c r="Q104" s="5">
        <v>330127400.33334428</v>
      </c>
      <c r="R104" s="1">
        <f t="shared" si="75"/>
        <v>0.30267955016224191</v>
      </c>
      <c r="S104" s="236">
        <v>353937045.66666669</v>
      </c>
      <c r="T104" s="1">
        <f t="shared" si="75"/>
        <v>7.2122596637785141E-2</v>
      </c>
      <c r="U104" s="262">
        <v>289002607</v>
      </c>
      <c r="V104" s="1">
        <f t="shared" si="76"/>
        <v>-0.18346324427373195</v>
      </c>
      <c r="W104" s="262">
        <v>382608227.19590503</v>
      </c>
      <c r="X104" s="1">
        <f t="shared" si="77"/>
        <v>0.32389195781858476</v>
      </c>
      <c r="Y104" s="262">
        <v>427781488</v>
      </c>
      <c r="Z104" s="1">
        <f t="shared" si="77"/>
        <v>0.11806662165935372</v>
      </c>
      <c r="AA104" s="262">
        <v>574197509</v>
      </c>
      <c r="AB104" s="1">
        <f t="shared" si="78"/>
        <v>0.34226824934509553</v>
      </c>
      <c r="AC104" s="262">
        <v>677479257</v>
      </c>
      <c r="AD104" s="1">
        <f t="shared" si="79"/>
        <v>0.17987146649220312</v>
      </c>
      <c r="AE104" s="262">
        <v>658235103</v>
      </c>
      <c r="AF104" s="1">
        <f t="shared" si="80"/>
        <v>-2.8405525041779987E-2</v>
      </c>
      <c r="AG104" s="262">
        <v>586205370</v>
      </c>
      <c r="AH104" s="1">
        <f t="shared" si="81"/>
        <v>-0.10942858056599269</v>
      </c>
      <c r="AI104" s="262">
        <v>605873929</v>
      </c>
      <c r="AJ104" s="1">
        <f t="shared" si="82"/>
        <v>3.3552335080110234E-2</v>
      </c>
      <c r="AK104" s="262">
        <v>636360057</v>
      </c>
      <c r="AL104" s="1">
        <f t="shared" si="83"/>
        <v>5.0317609886792139E-2</v>
      </c>
      <c r="AM104" s="262">
        <v>755497987</v>
      </c>
      <c r="AN104" s="1">
        <f t="shared" si="84"/>
        <v>0.18721780018949241</v>
      </c>
      <c r="AO104" s="262">
        <v>863783668</v>
      </c>
      <c r="AP104" s="1">
        <f t="shared" si="47"/>
        <v>0.14333020453170314</v>
      </c>
    </row>
    <row r="105" spans="1:42" x14ac:dyDescent="0.2">
      <c r="B105" s="320"/>
      <c r="C105" s="320"/>
      <c r="D105" s="5"/>
      <c r="F105" s="5"/>
      <c r="J105" s="1"/>
      <c r="L105" s="1"/>
      <c r="N105" s="1"/>
      <c r="P105" s="1"/>
      <c r="R105" s="1"/>
      <c r="T105" s="1"/>
      <c r="V105" s="1"/>
      <c r="X105" s="1"/>
      <c r="Z105" s="1"/>
      <c r="AB105" s="1"/>
      <c r="AD105" s="1"/>
      <c r="AF105" s="1"/>
      <c r="AH105" s="1"/>
      <c r="AJ105" s="1"/>
      <c r="AL105" s="1"/>
      <c r="AN105" s="1"/>
      <c r="AO105" s="262"/>
      <c r="AP105" s="1"/>
    </row>
    <row r="106" spans="1:42" x14ac:dyDescent="0.2">
      <c r="B106" s="320"/>
      <c r="C106" s="320"/>
      <c r="D106" s="5"/>
      <c r="F106" s="5"/>
      <c r="J106" s="1"/>
      <c r="L106" s="1"/>
      <c r="N106" s="1"/>
      <c r="P106" s="1"/>
      <c r="R106" s="1"/>
      <c r="T106" s="1"/>
      <c r="V106" s="1"/>
      <c r="X106" s="1"/>
      <c r="Z106" s="1"/>
      <c r="AB106" s="1"/>
      <c r="AD106" s="1"/>
      <c r="AF106" s="1"/>
      <c r="AH106" s="1"/>
      <c r="AJ106" s="1"/>
      <c r="AL106" s="1"/>
      <c r="AN106" s="1"/>
      <c r="AO106" s="262"/>
      <c r="AP106" s="1"/>
    </row>
    <row r="107" spans="1:42" x14ac:dyDescent="0.2">
      <c r="B107" s="320"/>
      <c r="C107" s="320"/>
      <c r="D107" s="5"/>
      <c r="F107" s="5"/>
      <c r="J107" s="1"/>
      <c r="L107" s="1"/>
      <c r="N107" s="1"/>
      <c r="P107" s="1"/>
      <c r="R107" s="1"/>
      <c r="T107" s="1"/>
      <c r="V107" s="1"/>
      <c r="X107" s="1"/>
      <c r="Z107" s="1"/>
      <c r="AB107" s="1"/>
      <c r="AD107" s="1"/>
      <c r="AF107" s="1"/>
      <c r="AH107" s="1"/>
      <c r="AJ107" s="1"/>
      <c r="AL107" s="1"/>
      <c r="AN107" s="1"/>
      <c r="AO107" s="262"/>
      <c r="AP107" s="1"/>
    </row>
    <row r="108" spans="1:42" x14ac:dyDescent="0.2">
      <c r="A108" s="3" t="s">
        <v>155</v>
      </c>
      <c r="B108" s="320">
        <f t="shared" ref="B108:B118" si="85">SUM((AL108+AN108+AP108+AJ108+AH108)/5)</f>
        <v>0.1119971067853431</v>
      </c>
      <c r="C108" s="320">
        <f>[1]Population!O102</f>
        <v>1.1871109615972153E-2</v>
      </c>
      <c r="D108" s="5">
        <v>458690080</v>
      </c>
      <c r="E108" s="5">
        <v>488281524</v>
      </c>
      <c r="F108" s="1">
        <f t="shared" ref="F108:F118" si="86">SUM((E108-D108)/D108)</f>
        <v>6.451293649080006E-2</v>
      </c>
      <c r="G108" s="5">
        <v>610512600</v>
      </c>
      <c r="H108" s="1">
        <f t="shared" ref="H108:H118" si="87">SUM((G108-E108)/E108)</f>
        <v>0.25032910317532309</v>
      </c>
      <c r="I108" s="236">
        <v>636131164</v>
      </c>
      <c r="J108" s="1">
        <f t="shared" ref="J108:J118" si="88">SUM((I108-G108)/G108)</f>
        <v>4.1962383741138184E-2</v>
      </c>
      <c r="K108" s="5">
        <v>599541545</v>
      </c>
      <c r="L108" s="1">
        <f t="shared" ref="L108:T118" si="89">SUM((K108-I108)/I108)</f>
        <v>-5.7518985188406833E-2</v>
      </c>
      <c r="M108" s="5">
        <v>574239071</v>
      </c>
      <c r="N108" s="1">
        <f t="shared" si="89"/>
        <v>-4.220303698887122E-2</v>
      </c>
      <c r="O108" s="236">
        <v>529149229</v>
      </c>
      <c r="P108" s="1">
        <f t="shared" si="89"/>
        <v>-7.8521027699280321E-2</v>
      </c>
      <c r="Q108" s="236">
        <v>457082391.00002521</v>
      </c>
      <c r="R108" s="1">
        <f t="shared" si="89"/>
        <v>-0.13619378816098546</v>
      </c>
      <c r="S108" s="236">
        <v>472677674</v>
      </c>
      <c r="T108" s="1">
        <f t="shared" si="89"/>
        <v>3.4119194497636916E-2</v>
      </c>
      <c r="U108" s="262">
        <v>464950959</v>
      </c>
      <c r="V108" s="1">
        <f t="shared" ref="V108:V118" si="90">SUM((U108-S108)/S108)</f>
        <v>-1.6346689139373229E-2</v>
      </c>
      <c r="W108" s="262">
        <v>494230689</v>
      </c>
      <c r="X108" s="1">
        <f t="shared" ref="X108:Z118" si="91">SUM((W108-U108)/U108)</f>
        <v>6.2973802791962838E-2</v>
      </c>
      <c r="Y108" s="262">
        <v>539221654</v>
      </c>
      <c r="Z108" s="1">
        <f t="shared" si="91"/>
        <v>9.1032317501433022E-2</v>
      </c>
      <c r="AA108" s="262">
        <v>559443533</v>
      </c>
      <c r="AB108" s="1">
        <f t="shared" ref="AB108:AB118" si="92">SUM((AA108-Y108)/Y108)</f>
        <v>3.7501978731736912E-2</v>
      </c>
      <c r="AC108" s="262">
        <v>574304345</v>
      </c>
      <c r="AD108" s="1">
        <f t="shared" ref="AD108:AD118" si="93">SUM((AC108-AA108)/AA108)</f>
        <v>2.6563560258368382E-2</v>
      </c>
      <c r="AE108" s="262">
        <v>642078134</v>
      </c>
      <c r="AF108" s="1">
        <f t="shared" ref="AF108:AF118" si="94">SUM((AE108-AC108)/AC108)</f>
        <v>0.11801023201382883</v>
      </c>
      <c r="AG108" s="262">
        <v>618162913</v>
      </c>
      <c r="AH108" s="1">
        <f t="shared" ref="AH108:AH118" si="95">SUM((AG108-AE108)/AE108)</f>
        <v>-3.7246589992114575E-2</v>
      </c>
      <c r="AI108" s="262">
        <v>786845971</v>
      </c>
      <c r="AJ108" s="1">
        <f t="shared" ref="AJ108:AJ118" si="96">SUM((AI108-AG108)/AG108)</f>
        <v>0.27287799777790939</v>
      </c>
      <c r="AK108" s="262">
        <v>944947727</v>
      </c>
      <c r="AL108" s="1">
        <f t="shared" ref="AL108:AL118" si="97">SUM((AK108-AI108)/AI108)</f>
        <v>0.2009310104226231</v>
      </c>
      <c r="AM108" s="262">
        <v>1081333429</v>
      </c>
      <c r="AN108" s="1">
        <f t="shared" ref="AN108:AN118" si="98">SUM((AM108-AK108)/AK108)</f>
        <v>0.14433147792523343</v>
      </c>
      <c r="AO108" s="262">
        <v>1058724518</v>
      </c>
      <c r="AP108" s="1">
        <f t="shared" si="47"/>
        <v>-2.0908362206935895E-2</v>
      </c>
    </row>
    <row r="109" spans="1:42" x14ac:dyDescent="0.2">
      <c r="A109" s="3" t="s">
        <v>156</v>
      </c>
      <c r="B109" s="320">
        <f t="shared" si="85"/>
        <v>5.5163316950332011E-2</v>
      </c>
      <c r="C109" s="320">
        <f>[1]Population!O103</f>
        <v>9.4286630351156243E-3</v>
      </c>
      <c r="D109" s="5">
        <v>96251713</v>
      </c>
      <c r="E109" s="5">
        <v>106331095</v>
      </c>
      <c r="F109" s="1">
        <f t="shared" si="86"/>
        <v>0.10471898822205897</v>
      </c>
      <c r="G109" s="5">
        <v>108762989</v>
      </c>
      <c r="H109" s="1">
        <f t="shared" si="87"/>
        <v>2.2870957926277351E-2</v>
      </c>
      <c r="I109" s="236">
        <v>114194974</v>
      </c>
      <c r="J109" s="1">
        <f t="shared" si="88"/>
        <v>4.9943322171846528E-2</v>
      </c>
      <c r="K109" s="5">
        <v>115670117</v>
      </c>
      <c r="L109" s="1">
        <f t="shared" si="89"/>
        <v>1.2917757658931644E-2</v>
      </c>
      <c r="M109" s="5">
        <v>116580546.66666667</v>
      </c>
      <c r="N109" s="1">
        <f t="shared" si="89"/>
        <v>7.8709150667382113E-3</v>
      </c>
      <c r="O109" s="236">
        <v>118753671.66666667</v>
      </c>
      <c r="P109" s="1">
        <f t="shared" si="89"/>
        <v>1.8640545632484594E-2</v>
      </c>
      <c r="Q109" s="236">
        <v>113198692.00000249</v>
      </c>
      <c r="R109" s="1">
        <f t="shared" si="89"/>
        <v>-4.6777329818118184E-2</v>
      </c>
      <c r="S109" s="236">
        <v>115697650</v>
      </c>
      <c r="T109" s="1">
        <f t="shared" si="89"/>
        <v>2.2075855788134518E-2</v>
      </c>
      <c r="U109" s="262">
        <v>117347730</v>
      </c>
      <c r="V109" s="1">
        <f t="shared" si="90"/>
        <v>1.4262001000020312E-2</v>
      </c>
      <c r="W109" s="262">
        <v>132491306</v>
      </c>
      <c r="X109" s="1">
        <f t="shared" si="91"/>
        <v>0.12904873404879669</v>
      </c>
      <c r="Y109" s="262">
        <v>140522651</v>
      </c>
      <c r="Z109" s="1">
        <f t="shared" si="91"/>
        <v>6.0617901977658824E-2</v>
      </c>
      <c r="AA109" s="262">
        <v>149808073</v>
      </c>
      <c r="AB109" s="1">
        <f t="shared" si="92"/>
        <v>6.6077759947753903E-2</v>
      </c>
      <c r="AC109" s="262">
        <v>153735683</v>
      </c>
      <c r="AD109" s="1">
        <f t="shared" si="93"/>
        <v>2.6217612451366355E-2</v>
      </c>
      <c r="AE109" s="262">
        <v>160955779</v>
      </c>
      <c r="AF109" s="1">
        <f t="shared" si="94"/>
        <v>4.696434724266324E-2</v>
      </c>
      <c r="AG109" s="262">
        <v>161829767</v>
      </c>
      <c r="AH109" s="1">
        <f t="shared" si="95"/>
        <v>5.4299883199596085E-3</v>
      </c>
      <c r="AI109" s="262">
        <v>179577664</v>
      </c>
      <c r="AJ109" s="1">
        <f t="shared" si="96"/>
        <v>0.10967016346257237</v>
      </c>
      <c r="AK109" s="262">
        <v>191635780</v>
      </c>
      <c r="AL109" s="1">
        <f t="shared" si="97"/>
        <v>6.7147081276210385E-2</v>
      </c>
      <c r="AM109" s="262">
        <v>199036790</v>
      </c>
      <c r="AN109" s="1">
        <f t="shared" si="98"/>
        <v>3.862018877685576E-2</v>
      </c>
      <c r="AO109" s="262">
        <v>209973695</v>
      </c>
      <c r="AP109" s="1">
        <f t="shared" si="47"/>
        <v>5.4949162916061903E-2</v>
      </c>
    </row>
    <row r="110" spans="1:42" x14ac:dyDescent="0.2">
      <c r="A110" s="3" t="s">
        <v>157</v>
      </c>
      <c r="B110" s="320">
        <f t="shared" si="85"/>
        <v>0.11440874072894769</v>
      </c>
      <c r="C110" s="320"/>
      <c r="D110" s="5">
        <v>176248863</v>
      </c>
      <c r="E110" s="5">
        <v>193324248</v>
      </c>
      <c r="F110" s="1">
        <f t="shared" si="86"/>
        <v>9.6882242014803804E-2</v>
      </c>
      <c r="G110" s="5">
        <v>286638289</v>
      </c>
      <c r="H110" s="1">
        <f t="shared" si="87"/>
        <v>0.48268151546100929</v>
      </c>
      <c r="I110" s="236">
        <v>338769667</v>
      </c>
      <c r="J110" s="1">
        <f t="shared" si="88"/>
        <v>0.18187164799884778</v>
      </c>
      <c r="K110" s="5">
        <v>290861852</v>
      </c>
      <c r="L110" s="1">
        <f t="shared" si="89"/>
        <v>-0.14141707380194699</v>
      </c>
      <c r="M110" s="5">
        <v>262125424</v>
      </c>
      <c r="N110" s="1">
        <f t="shared" si="89"/>
        <v>-9.8797514360872599E-2</v>
      </c>
      <c r="O110" s="236">
        <v>218782739</v>
      </c>
      <c r="P110" s="1">
        <f t="shared" si="89"/>
        <v>-0.1653509390222293</v>
      </c>
      <c r="Q110" s="236">
        <v>158526780.00000241</v>
      </c>
      <c r="R110" s="1">
        <f t="shared" si="89"/>
        <v>-0.2754145929217825</v>
      </c>
      <c r="S110" s="236">
        <v>171777373</v>
      </c>
      <c r="T110" s="1">
        <f t="shared" si="89"/>
        <v>8.3585833257935241E-2</v>
      </c>
      <c r="U110" s="262">
        <v>162204367</v>
      </c>
      <c r="V110" s="1">
        <f t="shared" si="90"/>
        <v>-5.5729144256967997E-2</v>
      </c>
      <c r="W110" s="262">
        <v>174784600</v>
      </c>
      <c r="X110" s="1">
        <f t="shared" si="91"/>
        <v>7.7557918030653275E-2</v>
      </c>
      <c r="Y110" s="262">
        <v>178609818</v>
      </c>
      <c r="Z110" s="1">
        <f t="shared" si="91"/>
        <v>2.1885326281606044E-2</v>
      </c>
      <c r="AA110" s="262">
        <v>205941447</v>
      </c>
      <c r="AB110" s="1">
        <f t="shared" si="92"/>
        <v>0.15302422512966224</v>
      </c>
      <c r="AC110" s="262">
        <v>198145486</v>
      </c>
      <c r="AD110" s="1">
        <f t="shared" si="93"/>
        <v>-3.7855230763722852E-2</v>
      </c>
      <c r="AE110" s="262">
        <v>222858417</v>
      </c>
      <c r="AF110" s="1">
        <f t="shared" si="94"/>
        <v>0.12472114050582005</v>
      </c>
      <c r="AG110" s="262">
        <v>223292390</v>
      </c>
      <c r="AH110" s="1">
        <f t="shared" si="95"/>
        <v>1.9473036102558333E-3</v>
      </c>
      <c r="AI110" s="262">
        <v>267810724</v>
      </c>
      <c r="AJ110" s="1">
        <f t="shared" si="96"/>
        <v>0.19937237449068462</v>
      </c>
      <c r="AK110" s="262">
        <v>288001651</v>
      </c>
      <c r="AL110" s="1">
        <f t="shared" si="97"/>
        <v>7.5392526103622348E-2</v>
      </c>
      <c r="AM110" s="262">
        <v>315858339</v>
      </c>
      <c r="AN110" s="1">
        <f t="shared" si="98"/>
        <v>9.6724056627022603E-2</v>
      </c>
      <c r="AO110" s="262">
        <v>378590156</v>
      </c>
      <c r="AP110" s="1">
        <f t="shared" si="47"/>
        <v>0.19860744281315301</v>
      </c>
    </row>
    <row r="111" spans="1:42" x14ac:dyDescent="0.2">
      <c r="A111" s="3" t="s">
        <v>158</v>
      </c>
      <c r="B111" s="320">
        <f t="shared" si="85"/>
        <v>5.4085321817299616E-2</v>
      </c>
      <c r="C111" s="320"/>
      <c r="D111" s="5">
        <v>9857869</v>
      </c>
      <c r="E111" s="5">
        <v>10433821</v>
      </c>
      <c r="F111" s="1">
        <f t="shared" si="86"/>
        <v>5.8425609023613524E-2</v>
      </c>
      <c r="G111" s="5">
        <v>15247510</v>
      </c>
      <c r="H111" s="1">
        <f t="shared" si="87"/>
        <v>0.46135437822826364</v>
      </c>
      <c r="I111" s="236">
        <v>14685739</v>
      </c>
      <c r="J111" s="1">
        <f t="shared" si="88"/>
        <v>-3.6843458374514922E-2</v>
      </c>
      <c r="K111" s="5">
        <v>15246253</v>
      </c>
      <c r="L111" s="1">
        <f t="shared" si="89"/>
        <v>3.8167231488997588E-2</v>
      </c>
      <c r="M111" s="5">
        <v>15733158</v>
      </c>
      <c r="N111" s="1">
        <f t="shared" si="89"/>
        <v>3.1936043564277726E-2</v>
      </c>
      <c r="O111" s="236">
        <v>15275689</v>
      </c>
      <c r="P111" s="1">
        <f t="shared" si="89"/>
        <v>-2.9076743524726566E-2</v>
      </c>
      <c r="Q111" s="236">
        <v>13914357.000003399</v>
      </c>
      <c r="R111" s="1">
        <f t="shared" si="89"/>
        <v>-8.911755142413548E-2</v>
      </c>
      <c r="S111" s="236">
        <v>13442560</v>
      </c>
      <c r="T111" s="1">
        <f t="shared" si="89"/>
        <v>-3.3907208216900291E-2</v>
      </c>
      <c r="U111" s="262">
        <v>14307168</v>
      </c>
      <c r="V111" s="1">
        <f t="shared" si="90"/>
        <v>6.4318701199771469E-2</v>
      </c>
      <c r="W111" s="262">
        <v>15891508</v>
      </c>
      <c r="X111" s="1">
        <f t="shared" si="91"/>
        <v>0.11073749885372143</v>
      </c>
      <c r="Y111" s="262">
        <v>17599404</v>
      </c>
      <c r="Z111" s="1">
        <f t="shared" si="91"/>
        <v>0.10747224240770606</v>
      </c>
      <c r="AA111" s="262">
        <v>21305554</v>
      </c>
      <c r="AB111" s="1">
        <f t="shared" si="92"/>
        <v>0.21058383567989006</v>
      </c>
      <c r="AC111" s="262">
        <v>24114327</v>
      </c>
      <c r="AD111" s="1">
        <f t="shared" si="93"/>
        <v>0.13183290141152865</v>
      </c>
      <c r="AE111" s="262">
        <v>24460124</v>
      </c>
      <c r="AF111" s="1">
        <f t="shared" si="94"/>
        <v>1.4339898434652561E-2</v>
      </c>
      <c r="AG111" s="262">
        <v>24591182</v>
      </c>
      <c r="AH111" s="1">
        <f t="shared" si="95"/>
        <v>5.3580268031347671E-3</v>
      </c>
      <c r="AI111" s="262">
        <v>25674249</v>
      </c>
      <c r="AJ111" s="1">
        <f t="shared" si="96"/>
        <v>4.4042901231831799E-2</v>
      </c>
      <c r="AK111" s="262">
        <v>27548778</v>
      </c>
      <c r="AL111" s="1">
        <f t="shared" si="97"/>
        <v>7.3012028511525301E-2</v>
      </c>
      <c r="AM111" s="262">
        <v>28039948</v>
      </c>
      <c r="AN111" s="1">
        <f t="shared" si="98"/>
        <v>1.7829102982353701E-2</v>
      </c>
      <c r="AO111" s="262">
        <v>31690316</v>
      </c>
      <c r="AP111" s="1">
        <f t="shared" si="47"/>
        <v>0.13018454955765255</v>
      </c>
    </row>
    <row r="112" spans="1:42" x14ac:dyDescent="0.2">
      <c r="A112" s="3" t="s">
        <v>159</v>
      </c>
      <c r="B112" s="320">
        <f t="shared" si="85"/>
        <v>0.1119971067853431</v>
      </c>
      <c r="C112" s="320"/>
      <c r="D112" s="5">
        <v>458690080</v>
      </c>
      <c r="E112" s="5">
        <v>488281524</v>
      </c>
      <c r="F112" s="1">
        <f t="shared" si="86"/>
        <v>6.451293649080006E-2</v>
      </c>
      <c r="G112" s="5">
        <v>610512600</v>
      </c>
      <c r="H112" s="1">
        <f t="shared" si="87"/>
        <v>0.25032910317532309</v>
      </c>
      <c r="I112" s="236">
        <v>636131164</v>
      </c>
      <c r="J112" s="1">
        <f t="shared" si="88"/>
        <v>4.1962383741138184E-2</v>
      </c>
      <c r="K112" s="5">
        <v>599541545</v>
      </c>
      <c r="L112" s="1">
        <f t="shared" si="89"/>
        <v>-5.7518985188406833E-2</v>
      </c>
      <c r="M112" s="5">
        <v>574239071</v>
      </c>
      <c r="N112" s="1">
        <f t="shared" si="89"/>
        <v>-4.220303698887122E-2</v>
      </c>
      <c r="O112" s="236">
        <v>529149229</v>
      </c>
      <c r="P112" s="1">
        <f t="shared" si="89"/>
        <v>-7.8521027699280321E-2</v>
      </c>
      <c r="Q112" s="236">
        <v>457082391.00002521</v>
      </c>
      <c r="R112" s="1">
        <f t="shared" si="89"/>
        <v>-0.13619378816098546</v>
      </c>
      <c r="S112" s="236">
        <v>472677674</v>
      </c>
      <c r="T112" s="1">
        <f t="shared" si="89"/>
        <v>3.4119194497636916E-2</v>
      </c>
      <c r="U112" s="262">
        <v>464950959</v>
      </c>
      <c r="V112" s="1">
        <f t="shared" si="90"/>
        <v>-1.6346689139373229E-2</v>
      </c>
      <c r="W112" s="262">
        <v>494230689</v>
      </c>
      <c r="X112" s="1">
        <f t="shared" si="91"/>
        <v>6.2973802791962838E-2</v>
      </c>
      <c r="Y112" s="262">
        <v>539221654</v>
      </c>
      <c r="Z112" s="1">
        <f t="shared" si="91"/>
        <v>9.1032317501433022E-2</v>
      </c>
      <c r="AA112" s="262">
        <v>559443533</v>
      </c>
      <c r="AB112" s="1">
        <f t="shared" si="92"/>
        <v>3.7501978731736912E-2</v>
      </c>
      <c r="AC112" s="262">
        <v>574304345</v>
      </c>
      <c r="AD112" s="1">
        <f t="shared" si="93"/>
        <v>2.6563560258368382E-2</v>
      </c>
      <c r="AE112" s="262">
        <v>642078134</v>
      </c>
      <c r="AF112" s="1">
        <f t="shared" si="94"/>
        <v>0.11801023201382883</v>
      </c>
      <c r="AG112" s="262">
        <v>618162913</v>
      </c>
      <c r="AH112" s="1">
        <f t="shared" si="95"/>
        <v>-3.7246589992114575E-2</v>
      </c>
      <c r="AI112" s="262">
        <v>786845971</v>
      </c>
      <c r="AJ112" s="1">
        <f t="shared" si="96"/>
        <v>0.27287799777790939</v>
      </c>
      <c r="AK112" s="262">
        <v>944947727</v>
      </c>
      <c r="AL112" s="1">
        <f t="shared" si="97"/>
        <v>0.2009310104226231</v>
      </c>
      <c r="AM112" s="262">
        <v>1081333429</v>
      </c>
      <c r="AN112" s="1">
        <f t="shared" si="98"/>
        <v>0.14433147792523343</v>
      </c>
      <c r="AO112" s="262">
        <v>1058724518</v>
      </c>
      <c r="AP112" s="1">
        <f t="shared" si="47"/>
        <v>-2.0908362206935895E-2</v>
      </c>
    </row>
    <row r="113" spans="1:42" x14ac:dyDescent="0.2">
      <c r="A113" s="3" t="s">
        <v>160</v>
      </c>
      <c r="B113" s="320">
        <f t="shared" si="85"/>
        <v>2.6072668172795931E-2</v>
      </c>
      <c r="C113" s="320"/>
      <c r="D113" s="5">
        <v>3141859</v>
      </c>
      <c r="E113" s="5">
        <v>3320761</v>
      </c>
      <c r="F113" s="1">
        <f t="shared" si="86"/>
        <v>5.694144772251078E-2</v>
      </c>
      <c r="G113" s="5">
        <v>3540137</v>
      </c>
      <c r="H113" s="1">
        <f t="shared" si="87"/>
        <v>6.6061965916848583E-2</v>
      </c>
      <c r="I113" s="236">
        <v>3091705</v>
      </c>
      <c r="J113" s="1">
        <f t="shared" si="88"/>
        <v>-0.1266708039830097</v>
      </c>
      <c r="K113" s="5">
        <v>3188692</v>
      </c>
      <c r="L113" s="1">
        <f t="shared" si="89"/>
        <v>3.1370069265987538E-2</v>
      </c>
      <c r="M113" s="5">
        <v>3233927</v>
      </c>
      <c r="N113" s="1">
        <f t="shared" si="89"/>
        <v>1.4186067516084965E-2</v>
      </c>
      <c r="O113" s="236">
        <v>3257658</v>
      </c>
      <c r="P113" s="1">
        <f t="shared" si="89"/>
        <v>7.338137193573015E-3</v>
      </c>
      <c r="Q113" s="236">
        <v>3075355.0000038003</v>
      </c>
      <c r="R113" s="1">
        <f t="shared" si="89"/>
        <v>-5.5961368564840061E-2</v>
      </c>
      <c r="S113" s="236">
        <v>3052979.3333333335</v>
      </c>
      <c r="T113" s="1">
        <f t="shared" si="89"/>
        <v>-7.2757995972624698E-3</v>
      </c>
      <c r="U113" s="262">
        <v>3315702</v>
      </c>
      <c r="V113" s="1">
        <f t="shared" si="90"/>
        <v>8.6054518547892728E-2</v>
      </c>
      <c r="W113" s="262">
        <v>5974976</v>
      </c>
      <c r="X113" s="1">
        <f t="shared" si="91"/>
        <v>0.80202442800951357</v>
      </c>
      <c r="Y113" s="262">
        <v>3832680</v>
      </c>
      <c r="Z113" s="1">
        <f t="shared" si="91"/>
        <v>-0.35854470377788966</v>
      </c>
      <c r="AA113" s="262">
        <v>4049663</v>
      </c>
      <c r="AB113" s="1">
        <f t="shared" si="92"/>
        <v>5.6613909848982957E-2</v>
      </c>
      <c r="AC113" s="262">
        <v>4369400</v>
      </c>
      <c r="AD113" s="1">
        <f t="shared" si="93"/>
        <v>7.8953977158099334E-2</v>
      </c>
      <c r="AE113" s="262">
        <v>4347995</v>
      </c>
      <c r="AF113" s="1">
        <f t="shared" si="94"/>
        <v>-4.8988419462626448E-3</v>
      </c>
      <c r="AG113" s="262">
        <v>4060037</v>
      </c>
      <c r="AH113" s="1">
        <f t="shared" si="95"/>
        <v>-6.6227767051250053E-2</v>
      </c>
      <c r="AI113" s="262">
        <v>4283960</v>
      </c>
      <c r="AJ113" s="1">
        <f t="shared" si="96"/>
        <v>5.5152945650495305E-2</v>
      </c>
      <c r="AK113" s="262">
        <v>4558771</v>
      </c>
      <c r="AL113" s="1">
        <f t="shared" si="97"/>
        <v>6.4148824919000175E-2</v>
      </c>
      <c r="AM113" s="262">
        <v>4682665</v>
      </c>
      <c r="AN113" s="1">
        <f t="shared" si="98"/>
        <v>2.7177061536980032E-2</v>
      </c>
      <c r="AO113" s="262">
        <v>4917324</v>
      </c>
      <c r="AP113" s="1">
        <f t="shared" si="47"/>
        <v>5.01122758087542E-2</v>
      </c>
    </row>
    <row r="114" spans="1:42" x14ac:dyDescent="0.2">
      <c r="A114" s="6" t="s">
        <v>161</v>
      </c>
      <c r="B114" s="320">
        <f t="shared" si="85"/>
        <v>0.1242685006430895</v>
      </c>
      <c r="C114" s="320"/>
      <c r="D114" s="5">
        <v>19663162</v>
      </c>
      <c r="E114" s="5">
        <v>19347151</v>
      </c>
      <c r="F114" s="1">
        <f t="shared" si="86"/>
        <v>-1.6071219878064372E-2</v>
      </c>
      <c r="G114" s="5">
        <v>21263091</v>
      </c>
      <c r="H114" s="1">
        <f t="shared" si="87"/>
        <v>9.9029567712579494E-2</v>
      </c>
      <c r="I114" s="236">
        <v>16371101</v>
      </c>
      <c r="J114" s="1">
        <f t="shared" si="88"/>
        <v>-0.23006956044161217</v>
      </c>
      <c r="K114" s="5">
        <v>16091927</v>
      </c>
      <c r="L114" s="1">
        <f t="shared" si="89"/>
        <v>-1.70528542948944E-2</v>
      </c>
      <c r="M114" s="5">
        <v>16620134</v>
      </c>
      <c r="N114" s="1">
        <f t="shared" si="89"/>
        <v>3.2824347264314588E-2</v>
      </c>
      <c r="O114" s="236">
        <v>16347026.666666666</v>
      </c>
      <c r="P114" s="1">
        <f t="shared" si="89"/>
        <v>-1.6432318375612012E-2</v>
      </c>
      <c r="Q114" s="236">
        <v>16235157.000003595</v>
      </c>
      <c r="R114" s="1">
        <f t="shared" si="89"/>
        <v>-6.8434259602197468E-3</v>
      </c>
      <c r="S114" s="236">
        <v>18835544</v>
      </c>
      <c r="T114" s="1">
        <f t="shared" si="89"/>
        <v>0.16017011723359553</v>
      </c>
      <c r="U114" s="262">
        <v>18191932</v>
      </c>
      <c r="V114" s="1">
        <f t="shared" si="90"/>
        <v>-3.4170077593723869E-2</v>
      </c>
      <c r="W114" s="262">
        <v>22359104</v>
      </c>
      <c r="X114" s="1">
        <f t="shared" si="91"/>
        <v>0.22906703916879198</v>
      </c>
      <c r="Y114" s="262">
        <v>19795537</v>
      </c>
      <c r="Z114" s="1">
        <f t="shared" si="91"/>
        <v>-0.11465428131646062</v>
      </c>
      <c r="AA114" s="262">
        <v>20768509</v>
      </c>
      <c r="AB114" s="1">
        <f t="shared" si="92"/>
        <v>4.9151078851763404E-2</v>
      </c>
      <c r="AC114" s="262">
        <v>22725158</v>
      </c>
      <c r="AD114" s="1">
        <f t="shared" si="93"/>
        <v>9.4212299977817382E-2</v>
      </c>
      <c r="AE114" s="262">
        <v>23879010</v>
      </c>
      <c r="AF114" s="1">
        <f t="shared" si="94"/>
        <v>5.0774212438919018E-2</v>
      </c>
      <c r="AG114" s="262">
        <v>21980502</v>
      </c>
      <c r="AH114" s="1">
        <f t="shared" si="95"/>
        <v>-7.950530612450013E-2</v>
      </c>
      <c r="AI114" s="262">
        <v>24985708</v>
      </c>
      <c r="AJ114" s="1">
        <f t="shared" si="96"/>
        <v>0.13672144521540044</v>
      </c>
      <c r="AK114" s="262">
        <v>39789979</v>
      </c>
      <c r="AL114" s="1">
        <f t="shared" si="97"/>
        <v>0.59250956586861581</v>
      </c>
      <c r="AM114" s="262">
        <v>38365685</v>
      </c>
      <c r="AN114" s="1">
        <f t="shared" si="98"/>
        <v>-3.5795294086483437E-2</v>
      </c>
      <c r="AO114" s="262">
        <v>38650055</v>
      </c>
      <c r="AP114" s="1">
        <f t="shared" ref="AP114:AP177" si="99">(AO114-AM114)/AM114</f>
        <v>7.4120923424148425E-3</v>
      </c>
    </row>
    <row r="115" spans="1:42" x14ac:dyDescent="0.2">
      <c r="A115" s="3" t="s">
        <v>162</v>
      </c>
      <c r="B115" s="320">
        <f t="shared" si="85"/>
        <v>0.1242685006430895</v>
      </c>
      <c r="C115" s="320"/>
      <c r="D115" s="5">
        <v>19663162</v>
      </c>
      <c r="E115" s="5">
        <v>19347151</v>
      </c>
      <c r="F115" s="1">
        <f t="shared" si="86"/>
        <v>-1.6071219878064372E-2</v>
      </c>
      <c r="G115" s="5">
        <v>21263091</v>
      </c>
      <c r="H115" s="1">
        <f t="shared" si="87"/>
        <v>9.9029567712579494E-2</v>
      </c>
      <c r="I115" s="236">
        <v>16371101</v>
      </c>
      <c r="J115" s="1">
        <f t="shared" si="88"/>
        <v>-0.23006956044161217</v>
      </c>
      <c r="K115" s="5">
        <v>16091927</v>
      </c>
      <c r="L115" s="1">
        <f t="shared" si="89"/>
        <v>-1.70528542948944E-2</v>
      </c>
      <c r="M115" s="5">
        <v>16620134</v>
      </c>
      <c r="N115" s="1">
        <f t="shared" si="89"/>
        <v>3.2824347264314588E-2</v>
      </c>
      <c r="O115" s="236">
        <v>16347026.666666666</v>
      </c>
      <c r="P115" s="1">
        <f t="shared" si="89"/>
        <v>-1.6432318375612012E-2</v>
      </c>
      <c r="Q115" s="236">
        <v>16235157.000003595</v>
      </c>
      <c r="R115" s="1">
        <f t="shared" si="89"/>
        <v>-6.8434259602197468E-3</v>
      </c>
      <c r="S115" s="236">
        <v>18835544</v>
      </c>
      <c r="T115" s="1">
        <f t="shared" si="89"/>
        <v>0.16017011723359553</v>
      </c>
      <c r="U115" s="262">
        <v>18191932</v>
      </c>
      <c r="V115" s="1">
        <f t="shared" si="90"/>
        <v>-3.4170077593723869E-2</v>
      </c>
      <c r="W115" s="262">
        <v>22359104</v>
      </c>
      <c r="X115" s="1">
        <f t="shared" si="91"/>
        <v>0.22906703916879198</v>
      </c>
      <c r="Y115" s="262">
        <v>19795537</v>
      </c>
      <c r="Z115" s="1">
        <f t="shared" si="91"/>
        <v>-0.11465428131646062</v>
      </c>
      <c r="AA115" s="262">
        <v>20768509</v>
      </c>
      <c r="AB115" s="1">
        <f t="shared" si="92"/>
        <v>4.9151078851763404E-2</v>
      </c>
      <c r="AC115" s="262">
        <v>22725158</v>
      </c>
      <c r="AD115" s="1">
        <f t="shared" si="93"/>
        <v>9.4212299977817382E-2</v>
      </c>
      <c r="AE115" s="262">
        <v>23879010</v>
      </c>
      <c r="AF115" s="1">
        <f t="shared" si="94"/>
        <v>5.0774212438919018E-2</v>
      </c>
      <c r="AG115" s="262">
        <v>21980502</v>
      </c>
      <c r="AH115" s="1">
        <f t="shared" si="95"/>
        <v>-7.950530612450013E-2</v>
      </c>
      <c r="AI115" s="262">
        <v>24985708</v>
      </c>
      <c r="AJ115" s="1">
        <f t="shared" si="96"/>
        <v>0.13672144521540044</v>
      </c>
      <c r="AK115" s="262">
        <v>39789979</v>
      </c>
      <c r="AL115" s="1">
        <f t="shared" si="97"/>
        <v>0.59250956586861581</v>
      </c>
      <c r="AM115" s="262">
        <v>38365685</v>
      </c>
      <c r="AN115" s="1">
        <f t="shared" si="98"/>
        <v>-3.5795294086483437E-2</v>
      </c>
      <c r="AO115" s="262">
        <v>38650055</v>
      </c>
      <c r="AP115" s="1">
        <f t="shared" si="99"/>
        <v>7.4120923424148425E-3</v>
      </c>
    </row>
    <row r="116" spans="1:42" x14ac:dyDescent="0.2">
      <c r="A116" s="3" t="s">
        <v>163</v>
      </c>
      <c r="B116" s="320">
        <f t="shared" si="85"/>
        <v>0.16915256961463171</v>
      </c>
      <c r="C116" s="320"/>
      <c r="D116" s="5">
        <v>15830433</v>
      </c>
      <c r="E116" s="5">
        <v>16237072</v>
      </c>
      <c r="F116" s="1">
        <f t="shared" si="86"/>
        <v>2.5687168506382613E-2</v>
      </c>
      <c r="G116" s="5">
        <v>16230678</v>
      </c>
      <c r="H116" s="1">
        <f t="shared" si="87"/>
        <v>-3.9379021045173664E-4</v>
      </c>
      <c r="I116" s="236">
        <v>16805167</v>
      </c>
      <c r="J116" s="1">
        <f t="shared" si="88"/>
        <v>3.539525582357065E-2</v>
      </c>
      <c r="K116" s="5">
        <v>18062579</v>
      </c>
      <c r="L116" s="1">
        <f t="shared" si="89"/>
        <v>7.4822939873194952E-2</v>
      </c>
      <c r="M116" s="5">
        <v>18425966</v>
      </c>
      <c r="N116" s="1">
        <f t="shared" si="89"/>
        <v>2.0118223427562587E-2</v>
      </c>
      <c r="O116" s="236">
        <v>17919904.333333332</v>
      </c>
      <c r="P116" s="1">
        <f t="shared" si="89"/>
        <v>-2.7464593534291114E-2</v>
      </c>
      <c r="Q116" s="236">
        <v>17936088.000003099</v>
      </c>
      <c r="R116" s="1">
        <f t="shared" si="89"/>
        <v>9.0311122027943213E-4</v>
      </c>
      <c r="S116" s="236">
        <v>17968295.666666668</v>
      </c>
      <c r="T116" s="1">
        <f t="shared" si="89"/>
        <v>1.7956907138035284E-3</v>
      </c>
      <c r="U116" s="262">
        <v>17995687</v>
      </c>
      <c r="V116" s="1">
        <f t="shared" si="90"/>
        <v>1.5244257909305379E-3</v>
      </c>
      <c r="W116" s="262">
        <v>16325189</v>
      </c>
      <c r="X116" s="1">
        <f t="shared" si="91"/>
        <v>-9.2827686989665911E-2</v>
      </c>
      <c r="Y116" s="262">
        <v>21213309</v>
      </c>
      <c r="Z116" s="1">
        <f t="shared" si="91"/>
        <v>0.29942195462484383</v>
      </c>
      <c r="AA116" s="262">
        <v>22200842</v>
      </c>
      <c r="AB116" s="1">
        <f t="shared" si="92"/>
        <v>4.6552520401225476E-2</v>
      </c>
      <c r="AC116" s="262">
        <v>24709800</v>
      </c>
      <c r="AD116" s="1">
        <f t="shared" si="93"/>
        <v>0.11301183982121038</v>
      </c>
      <c r="AE116" s="262">
        <v>24475594</v>
      </c>
      <c r="AF116" s="1">
        <f t="shared" si="94"/>
        <v>-9.478263684853782E-3</v>
      </c>
      <c r="AG116" s="262">
        <v>24011887</v>
      </c>
      <c r="AH116" s="1">
        <f t="shared" si="95"/>
        <v>-1.8945689326273347E-2</v>
      </c>
      <c r="AI116" s="262">
        <v>27041104</v>
      </c>
      <c r="AJ116" s="1">
        <f t="shared" si="96"/>
        <v>0.12615489153351422</v>
      </c>
      <c r="AK116" s="262">
        <v>47230574</v>
      </c>
      <c r="AL116" s="1">
        <f t="shared" si="97"/>
        <v>0.74662151367784391</v>
      </c>
      <c r="AM116" s="262">
        <v>48535617</v>
      </c>
      <c r="AN116" s="1">
        <f t="shared" si="98"/>
        <v>2.7631317798509077E-2</v>
      </c>
      <c r="AO116" s="262">
        <v>46802935</v>
      </c>
      <c r="AP116" s="1">
        <f t="shared" si="99"/>
        <v>-3.5699185610435322E-2</v>
      </c>
    </row>
    <row r="117" spans="1:42" x14ac:dyDescent="0.2">
      <c r="A117" s="3" t="s">
        <v>164</v>
      </c>
      <c r="B117" s="320">
        <f t="shared" si="85"/>
        <v>0.60863046932527076</v>
      </c>
      <c r="C117" s="320"/>
      <c r="D117" s="5">
        <v>2715257</v>
      </c>
      <c r="E117" s="5">
        <v>2951503</v>
      </c>
      <c r="F117" s="1">
        <f t="shared" si="86"/>
        <v>8.7006865280155804E-2</v>
      </c>
      <c r="G117" s="5">
        <v>2959207</v>
      </c>
      <c r="H117" s="1">
        <f t="shared" si="87"/>
        <v>2.6101955512157706E-3</v>
      </c>
      <c r="I117" s="236">
        <v>3103026</v>
      </c>
      <c r="J117" s="1">
        <f t="shared" si="88"/>
        <v>4.8600520342105165E-2</v>
      </c>
      <c r="K117" s="5">
        <v>2924421</v>
      </c>
      <c r="L117" s="1">
        <f t="shared" si="89"/>
        <v>-5.7558331770342884E-2</v>
      </c>
      <c r="M117" s="5">
        <v>3301258</v>
      </c>
      <c r="N117" s="1">
        <f t="shared" si="89"/>
        <v>0.1288586698016462</v>
      </c>
      <c r="O117" s="236">
        <v>3405580.6666666665</v>
      </c>
      <c r="P117" s="1">
        <f t="shared" si="89"/>
        <v>3.1600882653420759E-2</v>
      </c>
      <c r="Q117" s="236">
        <v>3951195.0000038003</v>
      </c>
      <c r="R117" s="1">
        <f t="shared" si="89"/>
        <v>0.16021183661204338</v>
      </c>
      <c r="S117" s="236">
        <v>3635335</v>
      </c>
      <c r="T117" s="1">
        <f t="shared" si="89"/>
        <v>-7.9940372470479554E-2</v>
      </c>
      <c r="U117" s="262">
        <v>3505351</v>
      </c>
      <c r="V117" s="1">
        <f t="shared" si="90"/>
        <v>-3.5755714397710255E-2</v>
      </c>
      <c r="W117" s="262">
        <v>8077556</v>
      </c>
      <c r="X117" s="1">
        <f t="shared" si="91"/>
        <v>1.3043501207154433</v>
      </c>
      <c r="Y117" s="262">
        <v>3943963</v>
      </c>
      <c r="Z117" s="1">
        <f t="shared" si="91"/>
        <v>-0.51173808018167877</v>
      </c>
      <c r="AA117" s="262">
        <v>4263142</v>
      </c>
      <c r="AB117" s="1">
        <f t="shared" si="92"/>
        <v>8.092849755436346E-2</v>
      </c>
      <c r="AC117" s="262">
        <v>4770866</v>
      </c>
      <c r="AD117" s="1">
        <f t="shared" si="93"/>
        <v>0.11909619712409299</v>
      </c>
      <c r="AE117" s="262">
        <v>5711518</v>
      </c>
      <c r="AF117" s="1">
        <f t="shared" si="94"/>
        <v>0.1971658814144015</v>
      </c>
      <c r="AG117" s="262">
        <v>5494226</v>
      </c>
      <c r="AH117" s="1">
        <f t="shared" si="95"/>
        <v>-3.8044526866587831E-2</v>
      </c>
      <c r="AI117" s="262">
        <v>12283558</v>
      </c>
      <c r="AJ117" s="1">
        <f t="shared" si="96"/>
        <v>1.2357212826702069</v>
      </c>
      <c r="AK117" s="262">
        <v>36355987</v>
      </c>
      <c r="AL117" s="1">
        <f t="shared" si="97"/>
        <v>1.9597277108147331</v>
      </c>
      <c r="AM117" s="262">
        <v>33741800</v>
      </c>
      <c r="AN117" s="1">
        <f t="shared" si="98"/>
        <v>-7.1905268312479037E-2</v>
      </c>
      <c r="AO117" s="262">
        <v>32312941</v>
      </c>
      <c r="AP117" s="1">
        <f t="shared" si="99"/>
        <v>-4.2346851679519175E-2</v>
      </c>
    </row>
    <row r="118" spans="1:42" x14ac:dyDescent="0.2">
      <c r="A118" s="3" t="s">
        <v>165</v>
      </c>
      <c r="B118" s="320">
        <f t="shared" si="85"/>
        <v>3.9174059883536817E-2</v>
      </c>
      <c r="C118" s="320"/>
      <c r="D118" s="5">
        <v>47768128</v>
      </c>
      <c r="E118" s="5">
        <v>52668627</v>
      </c>
      <c r="F118" s="1">
        <f t="shared" si="86"/>
        <v>0.10258930389736018</v>
      </c>
      <c r="G118" s="5">
        <v>58603024</v>
      </c>
      <c r="H118" s="1">
        <f t="shared" si="87"/>
        <v>0.11267423014463619</v>
      </c>
      <c r="I118" s="236">
        <v>57049110</v>
      </c>
      <c r="J118" s="1">
        <f t="shared" si="88"/>
        <v>-2.6515935423400677E-2</v>
      </c>
      <c r="K118" s="5">
        <v>62679896</v>
      </c>
      <c r="L118" s="1">
        <f t="shared" si="89"/>
        <v>9.8700680869517513E-2</v>
      </c>
      <c r="M118" s="5">
        <v>67608173</v>
      </c>
      <c r="N118" s="1">
        <f t="shared" si="89"/>
        <v>7.8626119609387993E-2</v>
      </c>
      <c r="O118" s="236">
        <v>66073583</v>
      </c>
      <c r="P118" s="1">
        <f t="shared" si="89"/>
        <v>-2.2698291225825611E-2</v>
      </c>
      <c r="Q118" s="236">
        <v>62581254.0000026</v>
      </c>
      <c r="R118" s="1">
        <f t="shared" si="89"/>
        <v>-5.2855147873506418E-2</v>
      </c>
      <c r="S118" s="236">
        <v>65701162.666666664</v>
      </c>
      <c r="T118" s="1">
        <f t="shared" si="89"/>
        <v>4.9853725632662049E-2</v>
      </c>
      <c r="U118" s="262">
        <v>63563520</v>
      </c>
      <c r="V118" s="1">
        <f t="shared" si="90"/>
        <v>-3.253584228808773E-2</v>
      </c>
      <c r="W118" s="262">
        <v>69486684</v>
      </c>
      <c r="X118" s="1">
        <f t="shared" si="91"/>
        <v>9.3184958919833263E-2</v>
      </c>
      <c r="Y118" s="262">
        <v>80978908</v>
      </c>
      <c r="Z118" s="1">
        <f t="shared" si="91"/>
        <v>0.16538742876261012</v>
      </c>
      <c r="AA118" s="262">
        <v>78516465</v>
      </c>
      <c r="AB118" s="1">
        <f t="shared" si="92"/>
        <v>-3.0408449074171263E-2</v>
      </c>
      <c r="AC118" s="262">
        <v>83388436</v>
      </c>
      <c r="AD118" s="1">
        <f t="shared" si="93"/>
        <v>6.2050310084642755E-2</v>
      </c>
      <c r="AE118" s="262">
        <v>90104933</v>
      </c>
      <c r="AF118" s="1">
        <f t="shared" si="94"/>
        <v>8.0544705263449243E-2</v>
      </c>
      <c r="AG118" s="262">
        <v>88454885</v>
      </c>
      <c r="AH118" s="1">
        <f t="shared" si="95"/>
        <v>-1.8312515697669961E-2</v>
      </c>
      <c r="AI118" s="262">
        <v>98586310</v>
      </c>
      <c r="AJ118" s="1">
        <f t="shared" si="96"/>
        <v>0.11453776690795539</v>
      </c>
      <c r="AK118" s="262">
        <v>97387130</v>
      </c>
      <c r="AL118" s="1">
        <f t="shared" si="97"/>
        <v>-1.2163757828039207E-2</v>
      </c>
      <c r="AM118" s="262">
        <v>103017684</v>
      </c>
      <c r="AN118" s="1">
        <f t="shared" si="98"/>
        <v>5.7816202202488155E-2</v>
      </c>
      <c r="AO118" s="262">
        <v>108579877</v>
      </c>
      <c r="AP118" s="1">
        <f t="shared" si="99"/>
        <v>5.3992603832949689E-2</v>
      </c>
    </row>
    <row r="119" spans="1:42" x14ac:dyDescent="0.2">
      <c r="B119" s="320"/>
      <c r="C119" s="320"/>
      <c r="D119" s="5"/>
      <c r="F119" s="5"/>
      <c r="J119" s="1"/>
      <c r="L119" s="1"/>
      <c r="N119" s="1"/>
      <c r="P119" s="1"/>
      <c r="R119" s="1"/>
      <c r="T119" s="1"/>
      <c r="V119" s="1"/>
      <c r="X119" s="1"/>
      <c r="Z119" s="1"/>
      <c r="AB119" s="1"/>
      <c r="AD119" s="1"/>
      <c r="AF119" s="1"/>
      <c r="AH119" s="1"/>
      <c r="AJ119" s="1"/>
      <c r="AL119" s="1"/>
      <c r="AN119" s="1"/>
      <c r="AO119" s="262"/>
      <c r="AP119" s="1"/>
    </row>
    <row r="120" spans="1:42" x14ac:dyDescent="0.2">
      <c r="B120" s="320"/>
      <c r="C120" s="320"/>
      <c r="D120" s="5"/>
      <c r="F120" s="5"/>
      <c r="J120" s="1"/>
      <c r="L120" s="1"/>
      <c r="N120" s="1"/>
      <c r="P120" s="1"/>
      <c r="R120" s="1"/>
      <c r="T120" s="1"/>
      <c r="V120" s="1"/>
      <c r="X120" s="1"/>
      <c r="Z120" s="1"/>
      <c r="AB120" s="1"/>
      <c r="AD120" s="1"/>
      <c r="AF120" s="1"/>
      <c r="AH120" s="1"/>
      <c r="AJ120" s="1"/>
      <c r="AL120" s="1"/>
      <c r="AN120" s="1"/>
      <c r="AO120" s="262"/>
      <c r="AP120" s="1"/>
    </row>
    <row r="121" spans="1:42" x14ac:dyDescent="0.2">
      <c r="B121" s="320"/>
      <c r="C121" s="320"/>
      <c r="D121" s="5"/>
      <c r="F121" s="5"/>
      <c r="J121" s="1"/>
      <c r="L121" s="1"/>
      <c r="N121" s="1"/>
      <c r="P121" s="1"/>
      <c r="R121" s="1"/>
      <c r="T121" s="1"/>
      <c r="V121" s="1"/>
      <c r="X121" s="1"/>
      <c r="Z121" s="1"/>
      <c r="AB121" s="1"/>
      <c r="AD121" s="1"/>
      <c r="AF121" s="1"/>
      <c r="AH121" s="1"/>
      <c r="AJ121" s="1"/>
      <c r="AL121" s="1"/>
      <c r="AN121" s="1"/>
      <c r="AO121" s="262"/>
      <c r="AP121" s="1"/>
    </row>
    <row r="122" spans="1:42" x14ac:dyDescent="0.2">
      <c r="A122" s="3" t="s">
        <v>166</v>
      </c>
      <c r="B122" s="320">
        <f t="shared" ref="B122:B127" si="100">SUM((AL122+AN122+AP122+AJ122+AH122)/5)</f>
        <v>0.15301867142005074</v>
      </c>
      <c r="C122" s="320">
        <f>[1]Population!O114</f>
        <v>2.3042651538527463E-2</v>
      </c>
      <c r="D122" s="5">
        <v>162940181</v>
      </c>
      <c r="E122" s="5">
        <v>192096926</v>
      </c>
      <c r="F122" s="1">
        <f t="shared" ref="F122:F127" si="101">SUM((E122-D122)/D122)</f>
        <v>0.17894140549653617</v>
      </c>
      <c r="G122" s="5">
        <v>170374817</v>
      </c>
      <c r="H122" s="1">
        <f t="shared" ref="H122:H127" si="102">SUM((G122-E122)/E122)</f>
        <v>-0.11307889955511313</v>
      </c>
      <c r="I122" s="236">
        <v>193017284</v>
      </c>
      <c r="J122" s="1">
        <f t="shared" ref="J122:J127" si="103">SUM((I122-G122)/G122)</f>
        <v>0.13289796813105309</v>
      </c>
      <c r="K122" s="5">
        <v>204115478</v>
      </c>
      <c r="L122" s="1">
        <f t="shared" ref="L122:T127" si="104">SUM((K122-I122)/I122)</f>
        <v>5.7498446615796332E-2</v>
      </c>
      <c r="M122" s="5">
        <v>197049961</v>
      </c>
      <c r="N122" s="1">
        <f t="shared" si="104"/>
        <v>-3.4615292623717639E-2</v>
      </c>
      <c r="O122" s="5">
        <v>191470130</v>
      </c>
      <c r="P122" s="1">
        <f t="shared" si="104"/>
        <v>-2.8316833820636992E-2</v>
      </c>
      <c r="Q122" s="5">
        <v>177452411.33334485</v>
      </c>
      <c r="R122" s="1">
        <f t="shared" si="104"/>
        <v>-7.3210994668751486E-2</v>
      </c>
      <c r="S122" s="236">
        <v>165892258.66666666</v>
      </c>
      <c r="T122" s="1">
        <f t="shared" si="104"/>
        <v>-6.5145086391429255E-2</v>
      </c>
      <c r="U122" s="262">
        <v>166607546</v>
      </c>
      <c r="V122" s="1">
        <f t="shared" ref="V122:V127" si="105">SUM((U122-S122)/S122)</f>
        <v>4.3117583610130725E-3</v>
      </c>
      <c r="W122" s="262">
        <v>268828588</v>
      </c>
      <c r="X122" s="1">
        <f t="shared" ref="X122:Z127" si="106">SUM((W122-U122)/U122)</f>
        <v>0.61354389074310001</v>
      </c>
      <c r="Y122" s="262">
        <v>265990214</v>
      </c>
      <c r="Z122" s="1">
        <f t="shared" si="106"/>
        <v>-1.055830416369259E-2</v>
      </c>
      <c r="AA122" s="262">
        <v>290793701</v>
      </c>
      <c r="AB122" s="1">
        <f t="shared" ref="AB122:AB127" si="107">SUM((AA122-Y122)/Y122)</f>
        <v>9.3249622333850216E-2</v>
      </c>
      <c r="AC122" s="262">
        <v>336175994</v>
      </c>
      <c r="AD122" s="1">
        <f t="shared" ref="AD122:AD127" si="108">SUM((AC122-AA122)/AA122)</f>
        <v>0.15606353522767674</v>
      </c>
      <c r="AE122" s="262">
        <v>351271987</v>
      </c>
      <c r="AF122" s="1">
        <f t="shared" ref="AF122:AF127" si="109">SUM((AE122-AC122)/AC122)</f>
        <v>4.4905029714882021E-2</v>
      </c>
      <c r="AG122" s="262">
        <v>364292680</v>
      </c>
      <c r="AH122" s="1">
        <f t="shared" ref="AH122:AH127" si="110">SUM((AG122-AE122)/AE122)</f>
        <v>3.7067268333013985E-2</v>
      </c>
      <c r="AI122" s="262">
        <v>413723932</v>
      </c>
      <c r="AJ122" s="1">
        <f t="shared" ref="AJ122:AJ127" si="111">SUM((AI122-AG122)/AG122)</f>
        <v>0.13569103831567519</v>
      </c>
      <c r="AK122" s="262">
        <v>524862037</v>
      </c>
      <c r="AL122" s="1">
        <f t="shared" ref="AL122:AL127" si="112">SUM((AK122-AI122)/AI122)</f>
        <v>0.268628658880676</v>
      </c>
      <c r="AM122" s="262">
        <v>646297215</v>
      </c>
      <c r="AN122" s="1">
        <f t="shared" ref="AN122:AN127" si="113">SUM((AM122-AK122)/AK122)</f>
        <v>0.23136590082623942</v>
      </c>
      <c r="AO122" s="262">
        <v>705976617</v>
      </c>
      <c r="AP122" s="1">
        <f t="shared" si="99"/>
        <v>9.2340490744649117E-2</v>
      </c>
    </row>
    <row r="123" spans="1:42" x14ac:dyDescent="0.2">
      <c r="A123" s="3" t="s">
        <v>167</v>
      </c>
      <c r="B123" s="320">
        <f t="shared" si="100"/>
        <v>4.6145240103091845E-2</v>
      </c>
      <c r="C123" s="320">
        <f>[1]Population!O115</f>
        <v>9.0529498072000857E-3</v>
      </c>
      <c r="D123" s="5">
        <v>2380076</v>
      </c>
      <c r="E123" s="5">
        <v>2441369</v>
      </c>
      <c r="F123" s="1">
        <f t="shared" si="101"/>
        <v>2.5752538994553115E-2</v>
      </c>
      <c r="G123" s="5">
        <v>2583789</v>
      </c>
      <c r="H123" s="1">
        <f t="shared" si="102"/>
        <v>5.8336122069216081E-2</v>
      </c>
      <c r="I123" s="236">
        <v>2705278</v>
      </c>
      <c r="J123" s="1">
        <f t="shared" si="103"/>
        <v>4.7019706330509184E-2</v>
      </c>
      <c r="K123" s="5">
        <v>2649816</v>
      </c>
      <c r="L123" s="1">
        <f t="shared" si="104"/>
        <v>-2.0501405031201968E-2</v>
      </c>
      <c r="M123" s="5">
        <v>2670955</v>
      </c>
      <c r="N123" s="1">
        <f t="shared" si="104"/>
        <v>7.9775350439426733E-3</v>
      </c>
      <c r="O123" s="5">
        <v>2584407</v>
      </c>
      <c r="P123" s="1">
        <f t="shared" si="104"/>
        <v>-3.2403391296371521E-2</v>
      </c>
      <c r="Q123" s="5">
        <v>2773286.0000038999</v>
      </c>
      <c r="R123" s="1">
        <f t="shared" si="104"/>
        <v>7.3084076929020816E-2</v>
      </c>
      <c r="S123" s="236">
        <v>2982454.3333333335</v>
      </c>
      <c r="T123" s="1">
        <f t="shared" si="104"/>
        <v>7.5422561297009916E-2</v>
      </c>
      <c r="U123" s="262">
        <v>3023495</v>
      </c>
      <c r="V123" s="1">
        <f t="shared" si="105"/>
        <v>1.3760702455013788E-2</v>
      </c>
      <c r="W123" s="262">
        <v>3901707</v>
      </c>
      <c r="X123" s="1">
        <f t="shared" si="106"/>
        <v>0.29046252763771729</v>
      </c>
      <c r="Y123" s="262">
        <v>3239156</v>
      </c>
      <c r="Z123" s="1">
        <f t="shared" si="106"/>
        <v>-0.16981054702467407</v>
      </c>
      <c r="AA123" s="262">
        <v>3132506</v>
      </c>
      <c r="AB123" s="1">
        <f t="shared" si="107"/>
        <v>-3.2925243489353398E-2</v>
      </c>
      <c r="AC123" s="262">
        <v>3295971</v>
      </c>
      <c r="AD123" s="1">
        <f t="shared" si="108"/>
        <v>5.2183459504945878E-2</v>
      </c>
      <c r="AE123" s="262">
        <v>3585278</v>
      </c>
      <c r="AF123" s="1">
        <f t="shared" si="109"/>
        <v>8.7775954339404078E-2</v>
      </c>
      <c r="AG123" s="262">
        <v>3553410</v>
      </c>
      <c r="AH123" s="1">
        <f t="shared" si="110"/>
        <v>-8.8885715417326081E-3</v>
      </c>
      <c r="AI123" s="262">
        <v>3649929</v>
      </c>
      <c r="AJ123" s="1">
        <f t="shared" si="111"/>
        <v>2.7162359536332704E-2</v>
      </c>
      <c r="AK123" s="262">
        <v>3752698</v>
      </c>
      <c r="AL123" s="1">
        <f t="shared" si="112"/>
        <v>2.815643811153587E-2</v>
      </c>
      <c r="AM123" s="262">
        <v>4090005</v>
      </c>
      <c r="AN123" s="1">
        <f t="shared" si="113"/>
        <v>8.9883864888674767E-2</v>
      </c>
      <c r="AO123" s="262">
        <v>4476151</v>
      </c>
      <c r="AP123" s="1">
        <f t="shared" si="99"/>
        <v>9.4412109520648504E-2</v>
      </c>
    </row>
    <row r="124" spans="1:42" x14ac:dyDescent="0.2">
      <c r="A124" s="3" t="s">
        <v>168</v>
      </c>
      <c r="B124" s="320">
        <f t="shared" si="100"/>
        <v>6.8928662436848892E-2</v>
      </c>
      <c r="C124" s="320">
        <f>[1]Population!O116</f>
        <v>2.3277855865756893E-2</v>
      </c>
      <c r="D124" s="5">
        <v>26773371</v>
      </c>
      <c r="E124" s="5">
        <v>27748200</v>
      </c>
      <c r="F124" s="1">
        <f t="shared" si="101"/>
        <v>3.6410394492348383E-2</v>
      </c>
      <c r="G124" s="5">
        <v>28691994</v>
      </c>
      <c r="H124" s="1">
        <f t="shared" si="102"/>
        <v>3.4012800830324132E-2</v>
      </c>
      <c r="I124" s="236">
        <v>30229295</v>
      </c>
      <c r="J124" s="1">
        <f t="shared" si="103"/>
        <v>5.3579441010617804E-2</v>
      </c>
      <c r="K124" s="5">
        <v>29581170</v>
      </c>
      <c r="L124" s="1">
        <f t="shared" si="104"/>
        <v>-2.1440294919216608E-2</v>
      </c>
      <c r="M124" s="5">
        <v>29186857</v>
      </c>
      <c r="N124" s="1">
        <f t="shared" si="104"/>
        <v>-1.3329864910684736E-2</v>
      </c>
      <c r="O124" s="5">
        <v>27720152</v>
      </c>
      <c r="P124" s="1">
        <f t="shared" si="104"/>
        <v>-5.0252241959454561E-2</v>
      </c>
      <c r="Q124" s="5">
        <v>27199800.333336432</v>
      </c>
      <c r="R124" s="1">
        <f t="shared" si="104"/>
        <v>-1.8771602214286864E-2</v>
      </c>
      <c r="S124" s="236">
        <v>27454024</v>
      </c>
      <c r="T124" s="1">
        <f t="shared" si="104"/>
        <v>9.3465269431404104E-3</v>
      </c>
      <c r="U124" s="262">
        <v>27542491</v>
      </c>
      <c r="V124" s="1">
        <f t="shared" si="105"/>
        <v>3.2223691506935376E-3</v>
      </c>
      <c r="W124" s="262">
        <v>31377122</v>
      </c>
      <c r="X124" s="1">
        <f t="shared" si="106"/>
        <v>0.13922600537474988</v>
      </c>
      <c r="Y124" s="262">
        <v>32123665</v>
      </c>
      <c r="Z124" s="1">
        <f t="shared" si="106"/>
        <v>2.3792590027855328E-2</v>
      </c>
      <c r="AA124" s="262">
        <v>32661353</v>
      </c>
      <c r="AB124" s="1">
        <f t="shared" si="107"/>
        <v>1.6738065223877788E-2</v>
      </c>
      <c r="AC124" s="262">
        <v>34754481</v>
      </c>
      <c r="AD124" s="1">
        <f t="shared" si="108"/>
        <v>6.4085771339601277E-2</v>
      </c>
      <c r="AE124" s="262">
        <v>35093697</v>
      </c>
      <c r="AF124" s="1">
        <f t="shared" si="109"/>
        <v>9.7603529167936652E-3</v>
      </c>
      <c r="AG124" s="262">
        <v>35387043</v>
      </c>
      <c r="AH124" s="1">
        <f t="shared" si="110"/>
        <v>8.3589369338887259E-3</v>
      </c>
      <c r="AI124" s="262">
        <v>37246130</v>
      </c>
      <c r="AJ124" s="1">
        <f t="shared" si="111"/>
        <v>5.2535810918137464E-2</v>
      </c>
      <c r="AK124" s="262">
        <v>41105584</v>
      </c>
      <c r="AL124" s="1">
        <f t="shared" si="112"/>
        <v>0.10362026873664458</v>
      </c>
      <c r="AM124" s="262">
        <v>49910419</v>
      </c>
      <c r="AN124" s="1">
        <f t="shared" si="113"/>
        <v>0.21420045996670428</v>
      </c>
      <c r="AO124" s="262">
        <v>48209863</v>
      </c>
      <c r="AP124" s="1">
        <f t="shared" si="99"/>
        <v>-3.4072164371130607E-2</v>
      </c>
    </row>
    <row r="125" spans="1:42" x14ac:dyDescent="0.2">
      <c r="A125" s="3" t="s">
        <v>169</v>
      </c>
      <c r="B125" s="320">
        <f t="shared" si="100"/>
        <v>2.1301683020550542E-2</v>
      </c>
      <c r="C125" s="320">
        <f>[1]Population!O117</f>
        <v>6.9449974742718329E-2</v>
      </c>
      <c r="D125" s="5">
        <v>2371750</v>
      </c>
      <c r="E125" s="5">
        <v>2423675</v>
      </c>
      <c r="F125" s="1">
        <f t="shared" si="101"/>
        <v>2.1893116896806154E-2</v>
      </c>
      <c r="G125" s="5">
        <v>2761256</v>
      </c>
      <c r="H125" s="1">
        <f t="shared" si="102"/>
        <v>0.1392847638400363</v>
      </c>
      <c r="I125" s="236">
        <v>2979236</v>
      </c>
      <c r="J125" s="1">
        <f t="shared" si="103"/>
        <v>7.8942336386050402E-2</v>
      </c>
      <c r="K125" s="5">
        <v>3074345</v>
      </c>
      <c r="L125" s="1">
        <f t="shared" si="104"/>
        <v>3.1923956343169857E-2</v>
      </c>
      <c r="M125" s="5">
        <v>3127076</v>
      </c>
      <c r="N125" s="1">
        <f t="shared" si="104"/>
        <v>1.7151946186911359E-2</v>
      </c>
      <c r="O125" s="5">
        <v>3132574</v>
      </c>
      <c r="P125" s="1">
        <f t="shared" si="104"/>
        <v>1.7581919978919603E-3</v>
      </c>
      <c r="Q125" s="5">
        <v>3138941.0000044</v>
      </c>
      <c r="R125" s="1">
        <f t="shared" si="104"/>
        <v>2.032513838268476E-3</v>
      </c>
      <c r="S125" s="236">
        <v>3318372.6666666665</v>
      </c>
      <c r="T125" s="1">
        <f t="shared" si="104"/>
        <v>5.7163121785982901E-2</v>
      </c>
      <c r="U125" s="262">
        <v>3647752</v>
      </c>
      <c r="V125" s="1">
        <f t="shared" si="105"/>
        <v>9.9259295570379033E-2</v>
      </c>
      <c r="W125" s="262">
        <v>3577380</v>
      </c>
      <c r="X125" s="1">
        <f t="shared" si="106"/>
        <v>-1.9291881684939109E-2</v>
      </c>
      <c r="Y125" s="262">
        <v>3988721</v>
      </c>
      <c r="Z125" s="1">
        <f t="shared" si="106"/>
        <v>0.11498387087756962</v>
      </c>
      <c r="AA125" s="262">
        <v>4863532</v>
      </c>
      <c r="AB125" s="1">
        <f t="shared" si="107"/>
        <v>0.21932118089984234</v>
      </c>
      <c r="AC125" s="262">
        <v>4927130</v>
      </c>
      <c r="AD125" s="1">
        <f t="shared" si="108"/>
        <v>1.3076504893974173E-2</v>
      </c>
      <c r="AE125" s="262">
        <v>5038346</v>
      </c>
      <c r="AF125" s="1">
        <f t="shared" si="109"/>
        <v>2.2572166758335989E-2</v>
      </c>
      <c r="AG125" s="262">
        <v>4989265</v>
      </c>
      <c r="AH125" s="1">
        <f t="shared" si="110"/>
        <v>-9.7414905605927027E-3</v>
      </c>
      <c r="AI125" s="262">
        <v>5229337</v>
      </c>
      <c r="AJ125" s="1">
        <f t="shared" si="111"/>
        <v>4.8117708720623181E-2</v>
      </c>
      <c r="AK125" s="262">
        <v>5574956</v>
      </c>
      <c r="AL125" s="1">
        <f t="shared" si="112"/>
        <v>6.6092317247865268E-2</v>
      </c>
      <c r="AM125" s="262">
        <v>5643691</v>
      </c>
      <c r="AN125" s="1">
        <f t="shared" si="113"/>
        <v>1.2329245289110802E-2</v>
      </c>
      <c r="AO125" s="262">
        <v>5585621</v>
      </c>
      <c r="AP125" s="1">
        <f t="shared" si="99"/>
        <v>-1.0289365594253832E-2</v>
      </c>
    </row>
    <row r="126" spans="1:42" x14ac:dyDescent="0.2">
      <c r="A126" s="3" t="s">
        <v>170</v>
      </c>
      <c r="B126" s="320">
        <f t="shared" si="100"/>
        <v>0.1530265874764172</v>
      </c>
      <c r="C126" s="320"/>
      <c r="D126" s="5">
        <v>162940181</v>
      </c>
      <c r="E126" s="5">
        <v>192096926</v>
      </c>
      <c r="F126" s="1">
        <f t="shared" si="101"/>
        <v>0.17894140549653617</v>
      </c>
      <c r="G126" s="5">
        <v>170374817</v>
      </c>
      <c r="H126" s="1">
        <f t="shared" si="102"/>
        <v>-0.11307889955511313</v>
      </c>
      <c r="I126" s="236">
        <v>193017284</v>
      </c>
      <c r="J126" s="1">
        <f t="shared" si="103"/>
        <v>0.13289796813105309</v>
      </c>
      <c r="K126" s="5">
        <v>204115478</v>
      </c>
      <c r="L126" s="1">
        <f t="shared" si="104"/>
        <v>5.7498446615796332E-2</v>
      </c>
      <c r="M126" s="5">
        <v>197049961</v>
      </c>
      <c r="N126" s="1">
        <f t="shared" si="104"/>
        <v>-3.4615292623717639E-2</v>
      </c>
      <c r="O126" s="5">
        <v>191470130</v>
      </c>
      <c r="P126" s="1">
        <f t="shared" si="104"/>
        <v>-2.8316833820636992E-2</v>
      </c>
      <c r="Q126" s="5">
        <v>177452411.33334485</v>
      </c>
      <c r="R126" s="1">
        <f t="shared" si="104"/>
        <v>-7.3210994668751486E-2</v>
      </c>
      <c r="S126" s="236">
        <v>165892258.66666666</v>
      </c>
      <c r="T126" s="1">
        <f t="shared" si="104"/>
        <v>-6.5145086391429255E-2</v>
      </c>
      <c r="U126" s="262">
        <v>166607546</v>
      </c>
      <c r="V126" s="1">
        <f t="shared" si="105"/>
        <v>4.3117583610130725E-3</v>
      </c>
      <c r="W126" s="262">
        <v>268828588</v>
      </c>
      <c r="X126" s="1">
        <f t="shared" si="106"/>
        <v>0.61354389074310001</v>
      </c>
      <c r="Y126" s="262">
        <v>265990214</v>
      </c>
      <c r="Z126" s="1">
        <f t="shared" si="106"/>
        <v>-1.055830416369259E-2</v>
      </c>
      <c r="AA126" s="262">
        <v>290793701</v>
      </c>
      <c r="AB126" s="1">
        <f t="shared" si="107"/>
        <v>9.3249622333850216E-2</v>
      </c>
      <c r="AC126" s="262">
        <v>336175994</v>
      </c>
      <c r="AD126" s="1">
        <f t="shared" si="108"/>
        <v>0.15606353522767674</v>
      </c>
      <c r="AE126" s="262">
        <v>351271987</v>
      </c>
      <c r="AF126" s="1">
        <f t="shared" si="109"/>
        <v>4.4905029714882021E-2</v>
      </c>
      <c r="AG126" s="262">
        <v>364292680</v>
      </c>
      <c r="AH126" s="1">
        <f t="shared" si="110"/>
        <v>3.7067268333013985E-2</v>
      </c>
      <c r="AI126" s="262">
        <v>413723932</v>
      </c>
      <c r="AJ126" s="1">
        <f t="shared" si="111"/>
        <v>0.13569103831567519</v>
      </c>
      <c r="AK126" s="262">
        <v>524862037</v>
      </c>
      <c r="AL126" s="1">
        <f t="shared" si="112"/>
        <v>0.268628658880676</v>
      </c>
      <c r="AM126" s="262">
        <v>646480805</v>
      </c>
      <c r="AN126" s="1">
        <f t="shared" si="113"/>
        <v>0.23171568798373582</v>
      </c>
      <c r="AO126" s="262">
        <v>705976617</v>
      </c>
      <c r="AP126" s="1">
        <f t="shared" si="99"/>
        <v>9.2030283868985097E-2</v>
      </c>
    </row>
    <row r="127" spans="1:42" x14ac:dyDescent="0.2">
      <c r="A127" s="3" t="s">
        <v>171</v>
      </c>
      <c r="B127" s="320">
        <f t="shared" si="100"/>
        <v>3.0286970981171456E-2</v>
      </c>
      <c r="C127" s="320"/>
      <c r="D127" s="5">
        <v>2380076</v>
      </c>
      <c r="E127" s="5">
        <v>2441369</v>
      </c>
      <c r="F127" s="1">
        <f t="shared" si="101"/>
        <v>2.5752538994553115E-2</v>
      </c>
      <c r="G127" s="5">
        <v>2583789</v>
      </c>
      <c r="H127" s="1">
        <f t="shared" si="102"/>
        <v>5.8336122069216081E-2</v>
      </c>
      <c r="I127" s="236">
        <v>2705260</v>
      </c>
      <c r="J127" s="1">
        <f t="shared" si="103"/>
        <v>4.7012739817376727E-2</v>
      </c>
      <c r="K127" s="5">
        <v>2649816</v>
      </c>
      <c r="L127" s="1">
        <f t="shared" si="104"/>
        <v>-2.0494887737223039E-2</v>
      </c>
      <c r="M127" s="5">
        <v>2670955</v>
      </c>
      <c r="N127" s="1">
        <f t="shared" si="104"/>
        <v>7.9775350439426733E-3</v>
      </c>
      <c r="O127" s="5">
        <v>2584407</v>
      </c>
      <c r="P127" s="1">
        <f t="shared" si="104"/>
        <v>-3.2403391296371521E-2</v>
      </c>
      <c r="Q127" s="5">
        <v>2773286.0000038999</v>
      </c>
      <c r="R127" s="1">
        <f t="shared" si="104"/>
        <v>7.3084076929020816E-2</v>
      </c>
      <c r="S127" s="236">
        <v>2982454.3333333335</v>
      </c>
      <c r="T127" s="1">
        <f t="shared" si="104"/>
        <v>7.5422561297009916E-2</v>
      </c>
      <c r="U127" s="262">
        <v>3023495</v>
      </c>
      <c r="V127" s="1">
        <f t="shared" si="105"/>
        <v>1.3760702455013788E-2</v>
      </c>
      <c r="W127" s="262">
        <v>3901707</v>
      </c>
      <c r="X127" s="1">
        <f t="shared" si="106"/>
        <v>0.29046252763771729</v>
      </c>
      <c r="Y127" s="262">
        <v>3239156</v>
      </c>
      <c r="Z127" s="1">
        <f t="shared" si="106"/>
        <v>-0.16981054702467407</v>
      </c>
      <c r="AA127" s="262">
        <v>3132506</v>
      </c>
      <c r="AB127" s="1">
        <f t="shared" si="107"/>
        <v>-3.2925243489353398E-2</v>
      </c>
      <c r="AC127" s="262">
        <v>3295971</v>
      </c>
      <c r="AD127" s="1">
        <f t="shared" si="108"/>
        <v>5.2183459504945878E-2</v>
      </c>
      <c r="AE127" s="262">
        <v>3585278</v>
      </c>
      <c r="AF127" s="1">
        <f t="shared" si="109"/>
        <v>8.7775954339404078E-2</v>
      </c>
      <c r="AG127" s="262">
        <v>3553410</v>
      </c>
      <c r="AH127" s="1">
        <f t="shared" si="110"/>
        <v>-8.8885715417326081E-3</v>
      </c>
      <c r="AI127" s="262">
        <v>3649929</v>
      </c>
      <c r="AJ127" s="1">
        <f t="shared" si="111"/>
        <v>2.7162359536332704E-2</v>
      </c>
      <c r="AK127" s="262">
        <v>3752698</v>
      </c>
      <c r="AL127" s="1">
        <f t="shared" si="112"/>
        <v>2.815643811153587E-2</v>
      </c>
      <c r="AM127" s="262">
        <v>4090005</v>
      </c>
      <c r="AN127" s="1">
        <f t="shared" si="113"/>
        <v>8.9883864888674767E-2</v>
      </c>
      <c r="AO127" s="262">
        <v>4151849</v>
      </c>
      <c r="AP127" s="1">
        <f t="shared" si="99"/>
        <v>1.5120763911046563E-2</v>
      </c>
    </row>
    <row r="128" spans="1:42" x14ac:dyDescent="0.2">
      <c r="B128" s="320"/>
      <c r="C128" s="320"/>
      <c r="D128" s="5"/>
      <c r="F128" s="5"/>
      <c r="J128" s="1"/>
      <c r="L128" s="1"/>
      <c r="N128" s="1"/>
      <c r="P128" s="1"/>
      <c r="R128" s="1"/>
      <c r="T128" s="1"/>
      <c r="V128" s="1"/>
      <c r="X128" s="1"/>
      <c r="Z128" s="1"/>
      <c r="AB128" s="1"/>
      <c r="AD128" s="1"/>
      <c r="AF128" s="1"/>
      <c r="AH128" s="1"/>
      <c r="AJ128" s="1"/>
      <c r="AL128" s="1"/>
      <c r="AN128" s="1"/>
      <c r="AO128" s="262"/>
      <c r="AP128" s="1"/>
    </row>
    <row r="129" spans="1:43" x14ac:dyDescent="0.2">
      <c r="B129" s="320"/>
      <c r="C129" s="320"/>
      <c r="D129" s="5"/>
      <c r="F129" s="5"/>
      <c r="J129" s="1"/>
      <c r="L129" s="1"/>
      <c r="N129" s="1"/>
      <c r="P129" s="1"/>
      <c r="R129" s="1"/>
      <c r="T129" s="1"/>
      <c r="V129" s="1"/>
      <c r="X129" s="1"/>
      <c r="Z129" s="1"/>
      <c r="AB129" s="1"/>
      <c r="AD129" s="1"/>
      <c r="AF129" s="1"/>
      <c r="AH129" s="1"/>
      <c r="AJ129" s="1"/>
      <c r="AL129" s="1"/>
      <c r="AN129" s="1"/>
      <c r="AO129" s="262"/>
      <c r="AP129" s="1"/>
    </row>
    <row r="130" spans="1:43" x14ac:dyDescent="0.2">
      <c r="B130" s="320"/>
      <c r="C130" s="320"/>
      <c r="D130" s="5"/>
      <c r="F130" s="5"/>
      <c r="J130" s="1"/>
      <c r="L130" s="1"/>
      <c r="N130" s="1"/>
      <c r="P130" s="1"/>
      <c r="R130" s="1"/>
      <c r="T130" s="1"/>
      <c r="V130" s="1"/>
      <c r="X130" s="1"/>
      <c r="Z130" s="1"/>
      <c r="AB130" s="1"/>
      <c r="AD130" s="1"/>
      <c r="AF130" s="1"/>
      <c r="AH130" s="1"/>
      <c r="AJ130" s="1"/>
      <c r="AL130" s="1"/>
      <c r="AN130" s="1"/>
      <c r="AO130" s="262"/>
      <c r="AP130" s="1"/>
    </row>
    <row r="131" spans="1:43" x14ac:dyDescent="0.2">
      <c r="A131" s="3" t="s">
        <v>172</v>
      </c>
      <c r="B131" s="320">
        <f t="shared" ref="B131:B138" si="114">SUM((AL131+AN131+AP131+AJ131+AH131)/5)</f>
        <v>0.12642447340353474</v>
      </c>
      <c r="C131" s="320">
        <f>[1]Population!O123</f>
        <v>2.4852045462429702E-2</v>
      </c>
      <c r="D131" s="5">
        <v>79712208</v>
      </c>
      <c r="E131" s="5">
        <v>80539286</v>
      </c>
      <c r="F131" s="1">
        <f t="shared" ref="F131:F138" si="115">SUM((E131-D131)/D131)</f>
        <v>1.0375800906179891E-2</v>
      </c>
      <c r="G131" s="5">
        <v>84342793</v>
      </c>
      <c r="H131" s="1">
        <f t="shared" ref="H131:H138" si="116">SUM((G131-E131)/E131)</f>
        <v>4.7225486950554792E-2</v>
      </c>
      <c r="I131" s="236">
        <v>82521419</v>
      </c>
      <c r="J131" s="1">
        <f t="shared" ref="J131:J138" si="117">SUM((I131-G131)/G131)</f>
        <v>-2.1594897859263447E-2</v>
      </c>
      <c r="K131" s="5">
        <v>85806991</v>
      </c>
      <c r="L131" s="1">
        <f t="shared" ref="L131:T138" si="118">SUM((K131-I131)/I131)</f>
        <v>3.9814778269869545E-2</v>
      </c>
      <c r="M131" s="5">
        <v>93701878.333333328</v>
      </c>
      <c r="N131" s="1">
        <f t="shared" si="118"/>
        <v>9.2007507096168048E-2</v>
      </c>
      <c r="O131" s="5">
        <v>106568178</v>
      </c>
      <c r="P131" s="1">
        <f t="shared" si="118"/>
        <v>0.13731101121469877</v>
      </c>
      <c r="Q131" s="5">
        <v>111846969.66668926</v>
      </c>
      <c r="R131" s="1">
        <f t="shared" si="118"/>
        <v>4.953440854256945E-2</v>
      </c>
      <c r="S131" s="236">
        <v>105061325</v>
      </c>
      <c r="T131" s="1">
        <f t="shared" si="118"/>
        <v>-6.0669007724669641E-2</v>
      </c>
      <c r="U131" s="262">
        <v>110272794</v>
      </c>
      <c r="V131" s="1">
        <f t="shared" ref="V131:V138" si="119">SUM((U131-S131)/S131)</f>
        <v>4.9604066958036173E-2</v>
      </c>
      <c r="W131" s="262">
        <v>155680026</v>
      </c>
      <c r="X131" s="1">
        <f t="shared" ref="X131:Z138" si="120">SUM((W131-U131)/U131)</f>
        <v>0.41177184646287279</v>
      </c>
      <c r="Y131" s="262">
        <v>174787455</v>
      </c>
      <c r="Z131" s="1">
        <f t="shared" si="120"/>
        <v>0.12273526341780031</v>
      </c>
      <c r="AA131" s="262">
        <v>186251032</v>
      </c>
      <c r="AB131" s="1">
        <f t="shared" ref="AB131:AB138" si="121">SUM((AA131-Y131)/Y131)</f>
        <v>6.5585811064072075E-2</v>
      </c>
      <c r="AC131" s="262">
        <v>205593584</v>
      </c>
      <c r="AD131" s="1">
        <f t="shared" ref="AD131:AD138" si="122">SUM((AC131-AA131)/AA131)</f>
        <v>0.10385205274996812</v>
      </c>
      <c r="AE131" s="262">
        <v>194637793</v>
      </c>
      <c r="AF131" s="1">
        <f t="shared" ref="AF131:AF138" si="123">SUM((AE131-AC131)/AC131)</f>
        <v>-5.3288584141808627E-2</v>
      </c>
      <c r="AG131" s="262">
        <v>194509847</v>
      </c>
      <c r="AH131" s="1">
        <f t="shared" ref="AH131:AH138" si="124">SUM((AG131-AE131)/AE131)</f>
        <v>-6.5735435049862076E-4</v>
      </c>
      <c r="AI131" s="262">
        <v>210970599</v>
      </c>
      <c r="AJ131" s="1">
        <f t="shared" ref="AJ131:AJ138" si="125">SUM((AI131-AG131)/AG131)</f>
        <v>8.462683125754554E-2</v>
      </c>
      <c r="AK131" s="262">
        <v>270321820</v>
      </c>
      <c r="AL131" s="1">
        <f t="shared" ref="AL131:AL138" si="126">SUM((AK131-AI131)/AI131)</f>
        <v>0.28132460770043127</v>
      </c>
      <c r="AM131" s="262">
        <v>349822781</v>
      </c>
      <c r="AN131" s="1">
        <f t="shared" ref="AN131:AN138" si="127">SUM((AM131-AK131)/AK131)</f>
        <v>0.29409746131481357</v>
      </c>
      <c r="AO131" s="262">
        <v>340283401</v>
      </c>
      <c r="AP131" s="1">
        <f t="shared" si="99"/>
        <v>-2.7269178904617993E-2</v>
      </c>
    </row>
    <row r="132" spans="1:43" x14ac:dyDescent="0.2">
      <c r="A132" s="3" t="s">
        <v>173</v>
      </c>
      <c r="B132" s="320">
        <f t="shared" si="114"/>
        <v>2.5257816313104958E-2</v>
      </c>
      <c r="C132" s="320">
        <f>[1]Population!O124</f>
        <v>1.8184197766065426E-2</v>
      </c>
      <c r="D132" s="5">
        <v>6695347</v>
      </c>
      <c r="E132" s="5">
        <v>7094698</v>
      </c>
      <c r="F132" s="1">
        <f t="shared" si="115"/>
        <v>5.9646049711837193E-2</v>
      </c>
      <c r="G132" s="5">
        <v>7033596</v>
      </c>
      <c r="H132" s="1">
        <f t="shared" si="116"/>
        <v>-8.6123468539464256E-3</v>
      </c>
      <c r="I132" s="236">
        <v>7343210</v>
      </c>
      <c r="J132" s="1">
        <f t="shared" si="117"/>
        <v>4.4019303923625977E-2</v>
      </c>
      <c r="K132" s="5">
        <v>7734579</v>
      </c>
      <c r="L132" s="1">
        <f t="shared" si="118"/>
        <v>5.3296719009806336E-2</v>
      </c>
      <c r="M132" s="5">
        <v>7996091.666666666</v>
      </c>
      <c r="N132" s="1">
        <f t="shared" si="118"/>
        <v>3.3810846933836479E-2</v>
      </c>
      <c r="O132" s="5">
        <v>8404270.666666666</v>
      </c>
      <c r="P132" s="1">
        <f t="shared" si="118"/>
        <v>5.1047313739733272E-2</v>
      </c>
      <c r="Q132" s="5">
        <v>8545789.3333369344</v>
      </c>
      <c r="R132" s="1">
        <f t="shared" si="118"/>
        <v>1.6838899207704608E-2</v>
      </c>
      <c r="S132" s="236">
        <v>8712221.666666666</v>
      </c>
      <c r="T132" s="1">
        <f t="shared" si="118"/>
        <v>1.9475361120883564E-2</v>
      </c>
      <c r="U132" s="262">
        <v>9293638</v>
      </c>
      <c r="V132" s="1">
        <f t="shared" si="119"/>
        <v>6.6735713986463149E-2</v>
      </c>
      <c r="W132" s="262">
        <v>10321746</v>
      </c>
      <c r="X132" s="1">
        <f t="shared" si="120"/>
        <v>0.11062492427615536</v>
      </c>
      <c r="Y132" s="262">
        <v>11487754</v>
      </c>
      <c r="Z132" s="1">
        <f t="shared" si="120"/>
        <v>0.11296615901999527</v>
      </c>
      <c r="AA132" s="262">
        <v>11997732</v>
      </c>
      <c r="AB132" s="1">
        <f t="shared" si="121"/>
        <v>4.4393185996148596E-2</v>
      </c>
      <c r="AC132" s="262">
        <v>12979037</v>
      </c>
      <c r="AD132" s="1">
        <f t="shared" si="122"/>
        <v>8.1790875142068523E-2</v>
      </c>
      <c r="AE132" s="262">
        <v>13022428</v>
      </c>
      <c r="AF132" s="1">
        <f t="shared" si="123"/>
        <v>3.3431602051831734E-3</v>
      </c>
      <c r="AG132" s="262">
        <v>13055412</v>
      </c>
      <c r="AH132" s="1">
        <f t="shared" si="124"/>
        <v>2.5328609995002469E-3</v>
      </c>
      <c r="AI132" s="262">
        <v>13063396</v>
      </c>
      <c r="AJ132" s="1">
        <f t="shared" si="125"/>
        <v>6.1154714994823606E-4</v>
      </c>
      <c r="AK132" s="262">
        <v>13903400</v>
      </c>
      <c r="AL132" s="1">
        <f t="shared" si="126"/>
        <v>6.4302115621389724E-2</v>
      </c>
      <c r="AM132" s="262">
        <v>14476713</v>
      </c>
      <c r="AN132" s="1">
        <f t="shared" si="127"/>
        <v>4.1235453198498209E-2</v>
      </c>
      <c r="AO132" s="262">
        <v>14731606</v>
      </c>
      <c r="AP132" s="1">
        <f t="shared" si="99"/>
        <v>1.7607104596188375E-2</v>
      </c>
    </row>
    <row r="133" spans="1:43" x14ac:dyDescent="0.2">
      <c r="A133" s="3" t="s">
        <v>174</v>
      </c>
      <c r="B133" s="320">
        <f t="shared" si="114"/>
        <v>7.7509029390859545E-3</v>
      </c>
      <c r="C133" s="320">
        <f>[1]Population!O125</f>
        <v>7.0749345026641288E-3</v>
      </c>
      <c r="D133" s="5">
        <v>4058326</v>
      </c>
      <c r="E133" s="5">
        <v>3977262</v>
      </c>
      <c r="F133" s="1">
        <f t="shared" si="115"/>
        <v>-1.9974738352709961E-2</v>
      </c>
      <c r="G133" s="5">
        <v>4055424</v>
      </c>
      <c r="H133" s="1">
        <f t="shared" si="116"/>
        <v>1.9652213004825933E-2</v>
      </c>
      <c r="I133" s="236">
        <v>4027452</v>
      </c>
      <c r="J133" s="1">
        <f t="shared" si="117"/>
        <v>-6.8974292207177349E-3</v>
      </c>
      <c r="K133" s="5">
        <v>4378260</v>
      </c>
      <c r="L133" s="1">
        <f t="shared" si="118"/>
        <v>8.7104203848984416E-2</v>
      </c>
      <c r="M133" s="5">
        <v>4857127.666666667</v>
      </c>
      <c r="N133" s="1">
        <f t="shared" si="118"/>
        <v>0.10937396743607437</v>
      </c>
      <c r="O133" s="5">
        <v>5429963.666666667</v>
      </c>
      <c r="P133" s="1">
        <f t="shared" si="118"/>
        <v>0.11793719237219967</v>
      </c>
      <c r="Q133" s="5">
        <v>5626966.0000039004</v>
      </c>
      <c r="R133" s="1">
        <f t="shared" si="118"/>
        <v>3.6280598808899348E-2</v>
      </c>
      <c r="S133" s="236">
        <v>5812924</v>
      </c>
      <c r="T133" s="1">
        <f t="shared" si="118"/>
        <v>3.3047649478594808E-2</v>
      </c>
      <c r="U133" s="262">
        <v>6241910</v>
      </c>
      <c r="V133" s="1">
        <f t="shared" si="119"/>
        <v>7.3798659676266198E-2</v>
      </c>
      <c r="W133" s="262">
        <v>6924935</v>
      </c>
      <c r="X133" s="1">
        <f t="shared" si="120"/>
        <v>0.10942564054912679</v>
      </c>
      <c r="Y133" s="262">
        <v>8178395</v>
      </c>
      <c r="Z133" s="1">
        <f t="shared" si="120"/>
        <v>0.18100675313197886</v>
      </c>
      <c r="AA133" s="262">
        <v>9203686</v>
      </c>
      <c r="AB133" s="1">
        <f t="shared" si="121"/>
        <v>0.12536579610057963</v>
      </c>
      <c r="AC133" s="262">
        <v>10112285</v>
      </c>
      <c r="AD133" s="1">
        <f t="shared" si="122"/>
        <v>9.8721208002967506E-2</v>
      </c>
      <c r="AE133" s="262">
        <v>10188138</v>
      </c>
      <c r="AF133" s="1">
        <f t="shared" si="123"/>
        <v>7.5010741884747115E-3</v>
      </c>
      <c r="AG133" s="262">
        <v>10119136</v>
      </c>
      <c r="AH133" s="1">
        <f t="shared" si="124"/>
        <v>-6.7727783035526215E-3</v>
      </c>
      <c r="AI133" s="262">
        <v>8591194</v>
      </c>
      <c r="AJ133" s="1">
        <f t="shared" si="125"/>
        <v>-0.15099530236573558</v>
      </c>
      <c r="AK133" s="262">
        <v>8509126</v>
      </c>
      <c r="AL133" s="1">
        <f t="shared" si="126"/>
        <v>-9.5525720871860193E-3</v>
      </c>
      <c r="AM133" s="262">
        <v>10209157</v>
      </c>
      <c r="AN133" s="1">
        <f t="shared" si="127"/>
        <v>0.19978914403194875</v>
      </c>
      <c r="AO133" s="262">
        <v>10273332</v>
      </c>
      <c r="AP133" s="1">
        <f t="shared" si="99"/>
        <v>6.2860234199552424E-3</v>
      </c>
    </row>
    <row r="134" spans="1:43" x14ac:dyDescent="0.2">
      <c r="A134" s="3" t="s">
        <v>175</v>
      </c>
      <c r="B134" s="320">
        <f t="shared" si="114"/>
        <v>1.1162111833392087E-2</v>
      </c>
      <c r="C134" s="320">
        <f>[1]Population!O126</f>
        <v>3.6612448277228177E-2</v>
      </c>
      <c r="D134" s="5">
        <v>4392317</v>
      </c>
      <c r="E134" s="5">
        <v>4626437</v>
      </c>
      <c r="F134" s="1">
        <f t="shared" si="115"/>
        <v>5.3302163755484862E-2</v>
      </c>
      <c r="G134" s="5">
        <v>5351628</v>
      </c>
      <c r="H134" s="1">
        <f t="shared" si="116"/>
        <v>0.1567493516068629</v>
      </c>
      <c r="I134" s="236">
        <v>5670521</v>
      </c>
      <c r="J134" s="1">
        <f t="shared" si="117"/>
        <v>5.9588035640743338E-2</v>
      </c>
      <c r="K134" s="5">
        <v>6062053</v>
      </c>
      <c r="L134" s="1">
        <f t="shared" si="118"/>
        <v>6.9046918263771531E-2</v>
      </c>
      <c r="M134" s="5">
        <v>6044792.333333333</v>
      </c>
      <c r="N134" s="1">
        <f t="shared" si="118"/>
        <v>-2.8473302141480746E-3</v>
      </c>
      <c r="O134" s="5">
        <v>6524618.666666667</v>
      </c>
      <c r="P134" s="1">
        <f t="shared" si="118"/>
        <v>7.9378464449040731E-2</v>
      </c>
      <c r="Q134" s="5">
        <v>6926397.3333368329</v>
      </c>
      <c r="R134" s="1">
        <f t="shared" si="118"/>
        <v>6.1578873371220151E-2</v>
      </c>
      <c r="S134" s="236">
        <v>6952555.666666667</v>
      </c>
      <c r="T134" s="1">
        <f t="shared" si="118"/>
        <v>3.7766146051041098E-3</v>
      </c>
      <c r="U134" s="262">
        <v>7294542</v>
      </c>
      <c r="V134" s="1">
        <f t="shared" si="119"/>
        <v>4.9188578952765856E-2</v>
      </c>
      <c r="W134" s="262">
        <v>8649834</v>
      </c>
      <c r="X134" s="1">
        <f t="shared" si="120"/>
        <v>0.18579535219620369</v>
      </c>
      <c r="Y134" s="262">
        <v>9590597</v>
      </c>
      <c r="Z134" s="1">
        <f t="shared" si="120"/>
        <v>0.10876081552547713</v>
      </c>
      <c r="AA134" s="262">
        <v>10688606</v>
      </c>
      <c r="AB134" s="1">
        <f t="shared" si="121"/>
        <v>0.1144880761854554</v>
      </c>
      <c r="AC134" s="262">
        <v>12048847</v>
      </c>
      <c r="AD134" s="1">
        <f t="shared" si="122"/>
        <v>0.12726084205929192</v>
      </c>
      <c r="AE134" s="262">
        <v>11915971</v>
      </c>
      <c r="AF134" s="1">
        <f t="shared" si="123"/>
        <v>-1.1028109162644359E-2</v>
      </c>
      <c r="AG134" s="262">
        <v>11927602</v>
      </c>
      <c r="AH134" s="1">
        <f t="shared" si="124"/>
        <v>9.7608495354679871E-4</v>
      </c>
      <c r="AI134" s="262">
        <v>12047483</v>
      </c>
      <c r="AJ134" s="1">
        <f t="shared" si="125"/>
        <v>1.0050721008296555E-2</v>
      </c>
      <c r="AK134" s="262">
        <v>12365513</v>
      </c>
      <c r="AL134" s="1">
        <f t="shared" si="126"/>
        <v>2.6398045135236962E-2</v>
      </c>
      <c r="AM134" s="262">
        <v>12719897</v>
      </c>
      <c r="AN134" s="1">
        <f t="shared" si="127"/>
        <v>2.8659061698451168E-2</v>
      </c>
      <c r="AO134" s="262">
        <v>12589221</v>
      </c>
      <c r="AP134" s="1">
        <f t="shared" si="99"/>
        <v>-1.0273353628571048E-2</v>
      </c>
    </row>
    <row r="135" spans="1:43" x14ac:dyDescent="0.2">
      <c r="A135" s="3" t="s">
        <v>176</v>
      </c>
      <c r="B135" s="320">
        <f t="shared" si="114"/>
        <v>5.1256015757199645E-2</v>
      </c>
      <c r="C135" s="320">
        <f>[1]Population!O127</f>
        <v>4.6869774583051679E-2</v>
      </c>
      <c r="D135" s="5">
        <v>6689545</v>
      </c>
      <c r="E135" s="5">
        <v>6997202</v>
      </c>
      <c r="F135" s="1">
        <f t="shared" si="115"/>
        <v>4.5990721342034475E-2</v>
      </c>
      <c r="G135" s="5">
        <v>6660275</v>
      </c>
      <c r="H135" s="1">
        <f t="shared" si="116"/>
        <v>-4.8151675484000601E-2</v>
      </c>
      <c r="I135" s="236">
        <v>7168499</v>
      </c>
      <c r="J135" s="1">
        <f t="shared" si="117"/>
        <v>7.6306759105292193E-2</v>
      </c>
      <c r="K135" s="5">
        <v>7634012</v>
      </c>
      <c r="L135" s="1">
        <f t="shared" si="118"/>
        <v>6.4938699161428359E-2</v>
      </c>
      <c r="M135" s="5">
        <v>7461261.333333333</v>
      </c>
      <c r="N135" s="1">
        <f t="shared" si="118"/>
        <v>-2.2629079790111278E-2</v>
      </c>
      <c r="O135" s="5">
        <v>8241379.666666666</v>
      </c>
      <c r="P135" s="1">
        <f t="shared" si="118"/>
        <v>0.1045558248775095</v>
      </c>
      <c r="Q135" s="5">
        <v>8317115.6666705674</v>
      </c>
      <c r="R135" s="1">
        <f t="shared" si="118"/>
        <v>9.1897234525216004E-3</v>
      </c>
      <c r="S135" s="236">
        <v>8745444.333333334</v>
      </c>
      <c r="T135" s="1">
        <f t="shared" si="118"/>
        <v>5.1499664526636464E-2</v>
      </c>
      <c r="U135" s="262">
        <v>9334370</v>
      </c>
      <c r="V135" s="1">
        <f t="shared" si="119"/>
        <v>6.7340851330100052E-2</v>
      </c>
      <c r="W135" s="262">
        <v>11192256</v>
      </c>
      <c r="X135" s="1">
        <f t="shared" si="120"/>
        <v>0.19903710694990664</v>
      </c>
      <c r="Y135" s="262">
        <v>15248764</v>
      </c>
      <c r="Z135" s="1">
        <f t="shared" si="120"/>
        <v>0.36243881483768775</v>
      </c>
      <c r="AA135" s="262">
        <v>17951756</v>
      </c>
      <c r="AB135" s="1">
        <f t="shared" si="121"/>
        <v>0.17725974380612095</v>
      </c>
      <c r="AC135" s="262">
        <v>19506907</v>
      </c>
      <c r="AD135" s="1">
        <f t="shared" si="122"/>
        <v>8.6629463992269062E-2</v>
      </c>
      <c r="AE135" s="262">
        <v>17246598</v>
      </c>
      <c r="AF135" s="1">
        <f t="shared" si="123"/>
        <v>-0.11587223950983105</v>
      </c>
      <c r="AG135" s="262">
        <v>17523973</v>
      </c>
      <c r="AH135" s="1">
        <f t="shared" si="124"/>
        <v>1.6082881968954108E-2</v>
      </c>
      <c r="AI135" s="262">
        <v>26096344</v>
      </c>
      <c r="AJ135" s="1">
        <f t="shared" si="125"/>
        <v>0.48917965121265594</v>
      </c>
      <c r="AK135" s="262">
        <v>15593325</v>
      </c>
      <c r="AL135" s="1">
        <f t="shared" si="126"/>
        <v>-0.40247089783917622</v>
      </c>
      <c r="AM135" s="262">
        <v>16242132</v>
      </c>
      <c r="AN135" s="1">
        <f t="shared" si="127"/>
        <v>4.1607995728941707E-2</v>
      </c>
      <c r="AO135" s="262">
        <v>18059309</v>
      </c>
      <c r="AP135" s="1">
        <f t="shared" si="99"/>
        <v>0.11188044771462269</v>
      </c>
    </row>
    <row r="136" spans="1:43" x14ac:dyDescent="0.2">
      <c r="A136" s="3" t="s">
        <v>177</v>
      </c>
      <c r="B136" s="320">
        <f t="shared" si="114"/>
        <v>0.12642447340353474</v>
      </c>
      <c r="C136" s="320"/>
      <c r="D136" s="5">
        <v>79712208</v>
      </c>
      <c r="E136" s="5">
        <v>80539286</v>
      </c>
      <c r="F136" s="1">
        <f t="shared" si="115"/>
        <v>1.0375800906179891E-2</v>
      </c>
      <c r="G136" s="5">
        <v>84342793</v>
      </c>
      <c r="H136" s="1">
        <f t="shared" si="116"/>
        <v>4.7225486950554792E-2</v>
      </c>
      <c r="I136" s="236">
        <v>82521419</v>
      </c>
      <c r="J136" s="1">
        <f t="shared" si="117"/>
        <v>-2.1594897859263447E-2</v>
      </c>
      <c r="K136" s="5">
        <v>85806991</v>
      </c>
      <c r="L136" s="1">
        <f t="shared" si="118"/>
        <v>3.9814778269869545E-2</v>
      </c>
      <c r="M136" s="5">
        <v>93701878.333333328</v>
      </c>
      <c r="N136" s="1">
        <f t="shared" si="118"/>
        <v>9.2007507096168048E-2</v>
      </c>
      <c r="O136" s="5">
        <v>106568178</v>
      </c>
      <c r="P136" s="1">
        <f t="shared" si="118"/>
        <v>0.13731101121469877</v>
      </c>
      <c r="Q136" s="5">
        <v>111846969.66668926</v>
      </c>
      <c r="R136" s="1">
        <f t="shared" si="118"/>
        <v>4.953440854256945E-2</v>
      </c>
      <c r="S136" s="236">
        <v>105061325</v>
      </c>
      <c r="T136" s="1">
        <f t="shared" si="118"/>
        <v>-6.0669007724669641E-2</v>
      </c>
      <c r="U136" s="262">
        <v>110272794</v>
      </c>
      <c r="V136" s="1">
        <f t="shared" si="119"/>
        <v>4.9604066958036173E-2</v>
      </c>
      <c r="W136" s="262">
        <v>155680026</v>
      </c>
      <c r="X136" s="1">
        <f t="shared" si="120"/>
        <v>0.41177184646287279</v>
      </c>
      <c r="Y136" s="262">
        <v>174787455</v>
      </c>
      <c r="Z136" s="1">
        <f t="shared" si="120"/>
        <v>0.12273526341780031</v>
      </c>
      <c r="AA136" s="262">
        <v>186251032</v>
      </c>
      <c r="AB136" s="1">
        <f t="shared" si="121"/>
        <v>6.5585811064072075E-2</v>
      </c>
      <c r="AC136" s="262">
        <v>205593584</v>
      </c>
      <c r="AD136" s="1">
        <f t="shared" si="122"/>
        <v>0.10385205274996812</v>
      </c>
      <c r="AE136" s="262">
        <v>194637793</v>
      </c>
      <c r="AF136" s="1">
        <f t="shared" si="123"/>
        <v>-5.3288584141808627E-2</v>
      </c>
      <c r="AG136" s="262">
        <v>194509847</v>
      </c>
      <c r="AH136" s="1">
        <f t="shared" si="124"/>
        <v>-6.5735435049862076E-4</v>
      </c>
      <c r="AI136" s="262">
        <v>210970599</v>
      </c>
      <c r="AJ136" s="1">
        <f t="shared" si="125"/>
        <v>8.462683125754554E-2</v>
      </c>
      <c r="AK136" s="262">
        <v>270321820</v>
      </c>
      <c r="AL136" s="1">
        <f t="shared" si="126"/>
        <v>0.28132460770043127</v>
      </c>
      <c r="AM136" s="262">
        <v>349822781</v>
      </c>
      <c r="AN136" s="1">
        <f t="shared" si="127"/>
        <v>0.29409746131481357</v>
      </c>
      <c r="AO136" s="262">
        <v>340283401</v>
      </c>
      <c r="AP136" s="1">
        <f t="shared" si="99"/>
        <v>-2.7269178904617993E-2</v>
      </c>
    </row>
    <row r="137" spans="1:43" x14ac:dyDescent="0.2">
      <c r="A137" s="3" t="s">
        <v>178</v>
      </c>
      <c r="B137" s="320">
        <f t="shared" si="114"/>
        <v>1.5418497586544011E-2</v>
      </c>
      <c r="C137" s="320"/>
      <c r="D137" s="5">
        <v>7509593</v>
      </c>
      <c r="E137" s="5">
        <v>8125317</v>
      </c>
      <c r="F137" s="1">
        <f t="shared" si="115"/>
        <v>8.1991660533400415E-2</v>
      </c>
      <c r="G137" s="5">
        <v>8548988</v>
      </c>
      <c r="H137" s="1">
        <f t="shared" si="116"/>
        <v>5.2142088733276498E-2</v>
      </c>
      <c r="I137" s="236">
        <v>8742830</v>
      </c>
      <c r="J137" s="1">
        <f t="shared" si="117"/>
        <v>2.2674262731448448E-2</v>
      </c>
      <c r="K137" s="5">
        <v>9766873</v>
      </c>
      <c r="L137" s="1">
        <f t="shared" si="118"/>
        <v>0.11712946494441731</v>
      </c>
      <c r="M137" s="5">
        <v>11301351.333333334</v>
      </c>
      <c r="N137" s="1">
        <f t="shared" si="118"/>
        <v>0.15711050336513374</v>
      </c>
      <c r="O137" s="5">
        <v>12319097</v>
      </c>
      <c r="P137" s="1">
        <f t="shared" si="118"/>
        <v>9.0055218765283884E-2</v>
      </c>
      <c r="Q137" s="5">
        <v>12851154.0000077</v>
      </c>
      <c r="R137" s="1">
        <f t="shared" si="118"/>
        <v>4.3189610407946312E-2</v>
      </c>
      <c r="S137" s="236">
        <v>13137732</v>
      </c>
      <c r="T137" s="1">
        <f t="shared" si="118"/>
        <v>2.2299787240284266E-2</v>
      </c>
      <c r="U137" s="262">
        <v>14035910</v>
      </c>
      <c r="V137" s="1">
        <f t="shared" si="119"/>
        <v>6.836629031555827E-2</v>
      </c>
      <c r="W137" s="262">
        <v>16072383</v>
      </c>
      <c r="X137" s="1">
        <f t="shared" si="120"/>
        <v>0.14509020077786192</v>
      </c>
      <c r="Y137" s="262">
        <v>18734999</v>
      </c>
      <c r="Z137" s="1">
        <f t="shared" si="120"/>
        <v>0.16566404620895359</v>
      </c>
      <c r="AA137" s="262">
        <v>20629448</v>
      </c>
      <c r="AB137" s="1">
        <f t="shared" si="121"/>
        <v>0.10111817993691913</v>
      </c>
      <c r="AC137" s="262">
        <v>23857856</v>
      </c>
      <c r="AD137" s="1">
        <f t="shared" si="122"/>
        <v>0.15649512289422382</v>
      </c>
      <c r="AE137" s="262">
        <v>24350235</v>
      </c>
      <c r="AF137" s="1">
        <f t="shared" si="123"/>
        <v>2.0638023802306459E-2</v>
      </c>
      <c r="AG137" s="262">
        <v>24477229</v>
      </c>
      <c r="AH137" s="1">
        <f t="shared" si="124"/>
        <v>5.2153090103647867E-3</v>
      </c>
      <c r="AI137" s="262">
        <v>22849140</v>
      </c>
      <c r="AJ137" s="1">
        <f t="shared" si="125"/>
        <v>-6.6514432659023612E-2</v>
      </c>
      <c r="AK137" s="262">
        <v>23978999</v>
      </c>
      <c r="AL137" s="1">
        <f t="shared" si="126"/>
        <v>4.9448644456640378E-2</v>
      </c>
      <c r="AM137" s="262">
        <v>26259627</v>
      </c>
      <c r="AN137" s="1">
        <f t="shared" si="127"/>
        <v>9.510939134698658E-2</v>
      </c>
      <c r="AO137" s="262">
        <v>26097699</v>
      </c>
      <c r="AP137" s="1">
        <f t="shared" si="99"/>
        <v>-6.1664242222480917E-3</v>
      </c>
    </row>
    <row r="138" spans="1:43" x14ac:dyDescent="0.2">
      <c r="A138" s="3" t="s">
        <v>179</v>
      </c>
      <c r="B138" s="320">
        <f t="shared" si="114"/>
        <v>4.2388144099494082E-2</v>
      </c>
      <c r="C138" s="320"/>
      <c r="D138" s="5">
        <v>7709846</v>
      </c>
      <c r="E138" s="5">
        <v>7942130</v>
      </c>
      <c r="F138" s="1">
        <f t="shared" si="115"/>
        <v>3.0128228242172411E-2</v>
      </c>
      <c r="G138" s="5">
        <v>7532041</v>
      </c>
      <c r="H138" s="1">
        <f t="shared" si="116"/>
        <v>-5.1634637055802408E-2</v>
      </c>
      <c r="I138" s="236">
        <v>7954179</v>
      </c>
      <c r="J138" s="1">
        <f t="shared" si="117"/>
        <v>5.6045632252931181E-2</v>
      </c>
      <c r="K138" s="5">
        <v>8628183</v>
      </c>
      <c r="L138" s="1">
        <f t="shared" si="118"/>
        <v>8.4735835087442715E-2</v>
      </c>
      <c r="M138" s="5">
        <v>8502750.666666666</v>
      </c>
      <c r="N138" s="1">
        <f t="shared" si="118"/>
        <v>-1.4537514252228302E-2</v>
      </c>
      <c r="O138" s="5">
        <v>9435536.666666666</v>
      </c>
      <c r="P138" s="1">
        <f t="shared" si="118"/>
        <v>0.10970402832777409</v>
      </c>
      <c r="Q138" s="5">
        <v>9477892.6666744668</v>
      </c>
      <c r="R138" s="1">
        <f t="shared" si="118"/>
        <v>4.4889868487749778E-3</v>
      </c>
      <c r="S138" s="236">
        <v>9889866.666666666</v>
      </c>
      <c r="T138" s="1">
        <f t="shared" si="118"/>
        <v>4.3466835348405529E-2</v>
      </c>
      <c r="U138" s="262">
        <v>10465777</v>
      </c>
      <c r="V138" s="1">
        <f t="shared" si="119"/>
        <v>5.8232365788551309E-2</v>
      </c>
      <c r="W138" s="262">
        <v>12811596</v>
      </c>
      <c r="X138" s="1">
        <f t="shared" si="120"/>
        <v>0.22414188645525315</v>
      </c>
      <c r="Y138" s="262">
        <v>16773662</v>
      </c>
      <c r="Z138" s="1">
        <f t="shared" si="120"/>
        <v>0.30925623942559538</v>
      </c>
      <c r="AA138" s="262">
        <v>19463434</v>
      </c>
      <c r="AB138" s="1">
        <f t="shared" si="121"/>
        <v>0.16035687377031921</v>
      </c>
      <c r="AC138" s="262">
        <v>21700924</v>
      </c>
      <c r="AD138" s="1">
        <f t="shared" si="122"/>
        <v>0.11495864501608503</v>
      </c>
      <c r="AE138" s="262">
        <v>19402681</v>
      </c>
      <c r="AF138" s="1">
        <f t="shared" si="123"/>
        <v>-0.10590530615194081</v>
      </c>
      <c r="AG138" s="262">
        <v>19739335</v>
      </c>
      <c r="AH138" s="1">
        <f t="shared" si="124"/>
        <v>1.7350901146083883E-2</v>
      </c>
      <c r="AI138" s="262">
        <v>28237566</v>
      </c>
      <c r="AJ138" s="1">
        <f t="shared" si="125"/>
        <v>0.43052265945129359</v>
      </c>
      <c r="AK138" s="262">
        <v>17756667</v>
      </c>
      <c r="AL138" s="1">
        <f t="shared" si="126"/>
        <v>-0.37116864109321601</v>
      </c>
      <c r="AM138" s="262">
        <v>18353211</v>
      </c>
      <c r="AN138" s="1">
        <f t="shared" si="127"/>
        <v>3.3595494019232328E-2</v>
      </c>
      <c r="AO138" s="262">
        <v>20218637</v>
      </c>
      <c r="AP138" s="1">
        <f t="shared" si="99"/>
        <v>0.10164030697407664</v>
      </c>
    </row>
    <row r="139" spans="1:43" x14ac:dyDescent="0.2">
      <c r="B139" s="320"/>
      <c r="C139" s="320"/>
      <c r="D139" s="5"/>
      <c r="F139" s="5"/>
      <c r="J139" s="1"/>
      <c r="L139" s="1"/>
      <c r="N139" s="1"/>
      <c r="P139" s="1"/>
      <c r="R139" s="1"/>
      <c r="T139" s="1"/>
      <c r="V139" s="1"/>
      <c r="X139" s="1"/>
      <c r="Z139" s="1"/>
      <c r="AB139" s="1"/>
      <c r="AD139" s="1"/>
      <c r="AF139" s="1"/>
      <c r="AH139" s="1"/>
      <c r="AJ139" s="1"/>
      <c r="AL139" s="1"/>
      <c r="AN139" s="1"/>
      <c r="AO139" s="262"/>
      <c r="AP139" s="1"/>
    </row>
    <row r="140" spans="1:43" x14ac:dyDescent="0.2">
      <c r="B140" s="320"/>
      <c r="C140" s="320"/>
      <c r="D140" s="5"/>
      <c r="F140" s="5"/>
      <c r="J140" s="1"/>
      <c r="L140" s="1"/>
      <c r="N140" s="1"/>
      <c r="P140" s="1"/>
      <c r="R140" s="1"/>
      <c r="T140" s="1"/>
      <c r="V140" s="1"/>
      <c r="X140" s="1"/>
      <c r="Z140" s="1"/>
      <c r="AB140" s="1"/>
      <c r="AD140" s="1"/>
      <c r="AE140" s="262">
        <v>58857733</v>
      </c>
      <c r="AF140" s="1"/>
      <c r="AH140" s="1"/>
      <c r="AJ140" s="1"/>
      <c r="AL140" s="1"/>
      <c r="AN140" s="1"/>
      <c r="AO140" s="262"/>
      <c r="AP140" s="1"/>
    </row>
    <row r="141" spans="1:43" x14ac:dyDescent="0.2">
      <c r="B141" s="320"/>
      <c r="C141" s="320"/>
      <c r="D141" s="5"/>
      <c r="F141" s="5"/>
      <c r="J141" s="1"/>
      <c r="L141" s="1"/>
      <c r="N141" s="1"/>
      <c r="P141" s="1"/>
      <c r="R141" s="1"/>
      <c r="T141" s="1"/>
      <c r="V141" s="1"/>
      <c r="X141" s="1"/>
      <c r="Z141" s="1"/>
      <c r="AB141" s="1"/>
      <c r="AD141" s="1"/>
      <c r="AF141" s="1"/>
      <c r="AH141" s="1"/>
      <c r="AJ141" s="1"/>
      <c r="AL141" s="1"/>
      <c r="AN141" s="1"/>
      <c r="AO141" s="262"/>
      <c r="AP141" s="1"/>
    </row>
    <row r="142" spans="1:43" x14ac:dyDescent="0.2">
      <c r="A142" s="3" t="s">
        <v>180</v>
      </c>
      <c r="B142" s="320">
        <f t="shared" ref="B142:B154" si="128">SUM((AL142+AN142+AP142+AJ142+AH142)/5)</f>
        <v>3.1144985942827226E-2</v>
      </c>
      <c r="C142" s="320">
        <f>[1]Population!O134</f>
        <v>3.9528369793099906E-2</v>
      </c>
      <c r="D142" s="5">
        <v>469069183</v>
      </c>
      <c r="E142" s="5">
        <v>506321553</v>
      </c>
      <c r="F142" s="1">
        <f t="shared" ref="F142:F154" si="129">SUM((E142-D142)/D142)</f>
        <v>7.9417645307131593E-2</v>
      </c>
      <c r="G142" s="5">
        <v>553401955</v>
      </c>
      <c r="H142" s="1">
        <f t="shared" ref="H142:H154" si="130">SUM((G142-E142)/E142)</f>
        <v>9.2985182481457596E-2</v>
      </c>
      <c r="I142" s="236">
        <v>615055680</v>
      </c>
      <c r="J142" s="1">
        <f t="shared" ref="J142:J154" si="131">SUM((I142-G142)/G142)</f>
        <v>0.11140857823677186</v>
      </c>
      <c r="K142" s="5">
        <v>672014241</v>
      </c>
      <c r="L142" s="1">
        <f t="shared" ref="L142:T154" si="132">SUM((K142-I142)/I142)</f>
        <v>9.2607162005235041E-2</v>
      </c>
      <c r="M142" s="5">
        <v>722002642.66666663</v>
      </c>
      <c r="N142" s="1">
        <f t="shared" si="132"/>
        <v>7.4385926096269483E-2</v>
      </c>
      <c r="O142" s="5">
        <v>762393482</v>
      </c>
      <c r="P142" s="1">
        <f t="shared" si="132"/>
        <v>5.5942786004428757E-2</v>
      </c>
      <c r="Q142" s="5">
        <v>810679187.00004947</v>
      </c>
      <c r="R142" s="1">
        <f t="shared" si="132"/>
        <v>6.3334362294626065E-2</v>
      </c>
      <c r="S142" s="236">
        <v>897481383</v>
      </c>
      <c r="T142" s="1">
        <f t="shared" si="132"/>
        <v>0.10707342360812974</v>
      </c>
      <c r="U142" s="262">
        <v>1052893222</v>
      </c>
      <c r="V142" s="1">
        <f t="shared" ref="V142:V154" si="133">SUM((U142-S142)/S142)</f>
        <v>0.17316441537818505</v>
      </c>
      <c r="W142" s="262">
        <v>1364367737</v>
      </c>
      <c r="X142" s="1">
        <f t="shared" ref="X142:Z154" si="134">SUM((W142-U142)/U142)</f>
        <v>0.29582725816046712</v>
      </c>
      <c r="Y142" s="262">
        <v>1665751811</v>
      </c>
      <c r="Z142" s="1">
        <f t="shared" si="134"/>
        <v>0.22089651186174303</v>
      </c>
      <c r="AA142" s="262">
        <v>1856590795</v>
      </c>
      <c r="AB142" s="1">
        <f t="shared" ref="AB142:AB154" si="135">SUM((AA142-Y142)/Y142)</f>
        <v>0.11456627736483367</v>
      </c>
      <c r="AC142" s="262">
        <v>1653405504</v>
      </c>
      <c r="AD142" s="1">
        <f t="shared" ref="AD142:AD154" si="136">SUM((AC142-AA142)/AA142)</f>
        <v>-0.10943999698113337</v>
      </c>
      <c r="AE142" s="262">
        <v>1336287467</v>
      </c>
      <c r="AF142" s="1">
        <f t="shared" ref="AF142:AF154" si="137">SUM((AE142-AC142)/AC142)</f>
        <v>-0.19179689207082742</v>
      </c>
      <c r="AG142" s="262">
        <v>1354697354</v>
      </c>
      <c r="AH142" s="1">
        <f>SUM((AG142-AE142)/AE142)</f>
        <v>1.3776891166487308E-2</v>
      </c>
      <c r="AI142" s="262">
        <v>1225489765</v>
      </c>
      <c r="AJ142" s="1">
        <f>SUM((AI142-AG142)/AG142)</f>
        <v>-9.5377457273752089E-2</v>
      </c>
      <c r="AK142" s="262">
        <v>1192776765</v>
      </c>
      <c r="AL142" s="1">
        <f>SUM((AK142-AI142)/AI142)</f>
        <v>-2.6693817389817204E-2</v>
      </c>
      <c r="AM142" s="262">
        <v>1420138197</v>
      </c>
      <c r="AN142" s="1">
        <f>SUM((AM142-AK142)/AK142)</f>
        <v>0.19061524224107435</v>
      </c>
      <c r="AO142" s="262">
        <v>1524382122</v>
      </c>
      <c r="AP142" s="1">
        <f t="shared" si="99"/>
        <v>7.3404070970143759E-2</v>
      </c>
    </row>
    <row r="143" spans="1:43" x14ac:dyDescent="0.2">
      <c r="A143" s="3" t="s">
        <v>182</v>
      </c>
      <c r="B143" s="320">
        <f t="shared" si="128"/>
        <v>8.5959886754501252E-2</v>
      </c>
      <c r="C143" s="320">
        <f>[1]Population!O136</f>
        <v>6.9078732091690048E-2</v>
      </c>
      <c r="D143" s="5">
        <v>102739227</v>
      </c>
      <c r="E143" s="5">
        <v>114851624</v>
      </c>
      <c r="F143" s="1">
        <f t="shared" si="129"/>
        <v>0.11789457010417258</v>
      </c>
      <c r="G143" s="5">
        <v>151402451</v>
      </c>
      <c r="H143" s="1">
        <f t="shared" si="130"/>
        <v>0.31824388482308269</v>
      </c>
      <c r="I143" s="236">
        <v>187568265</v>
      </c>
      <c r="J143" s="1">
        <f t="shared" si="131"/>
        <v>0.23887205102115552</v>
      </c>
      <c r="K143" s="5">
        <v>212507285</v>
      </c>
      <c r="L143" s="1">
        <f t="shared" si="132"/>
        <v>0.13295969869956412</v>
      </c>
      <c r="M143" s="5">
        <v>233552164</v>
      </c>
      <c r="N143" s="1">
        <f t="shared" si="132"/>
        <v>9.9031329678886074E-2</v>
      </c>
      <c r="O143" s="5">
        <v>246640476</v>
      </c>
      <c r="P143" s="1">
        <f t="shared" si="132"/>
        <v>5.6040208644780529E-2</v>
      </c>
      <c r="Q143" s="5">
        <v>279452986.33333653</v>
      </c>
      <c r="R143" s="1">
        <f t="shared" si="132"/>
        <v>0.13303781628014913</v>
      </c>
      <c r="S143" s="236">
        <v>303180006</v>
      </c>
      <c r="T143" s="1">
        <f t="shared" si="132"/>
        <v>8.4905228525135365E-2</v>
      </c>
      <c r="U143" s="262">
        <v>377743200</v>
      </c>
      <c r="V143" s="1">
        <f t="shared" si="133"/>
        <v>0.2459370424314854</v>
      </c>
      <c r="W143" s="262">
        <v>511154623</v>
      </c>
      <c r="X143" s="1">
        <f t="shared" si="134"/>
        <v>0.35318021078870515</v>
      </c>
      <c r="Y143" s="262">
        <v>679959918</v>
      </c>
      <c r="Z143" s="1">
        <f t="shared" si="134"/>
        <v>0.33024311510530935</v>
      </c>
      <c r="AA143" s="262">
        <v>755501231</v>
      </c>
      <c r="AB143" s="1">
        <f t="shared" si="135"/>
        <v>0.11109671467429055</v>
      </c>
      <c r="AC143" s="262">
        <v>632953139</v>
      </c>
      <c r="AD143" s="1">
        <f t="shared" si="136"/>
        <v>-0.16220766687274929</v>
      </c>
      <c r="AE143" s="262">
        <v>448105998</v>
      </c>
      <c r="AF143" s="1">
        <f t="shared" si="137"/>
        <v>-0.29203921998402477</v>
      </c>
      <c r="AG143" s="262">
        <v>474007916</v>
      </c>
      <c r="AH143" s="1">
        <f>SUM((AG143-AE143)/AE143)</f>
        <v>5.7803104880555518E-2</v>
      </c>
      <c r="AI143" s="262">
        <v>441960327</v>
      </c>
      <c r="AJ143" s="1">
        <f>SUM((AI143-AG143)/AG143)</f>
        <v>-6.7609818144893599E-2</v>
      </c>
      <c r="AK143" s="262">
        <v>444251962</v>
      </c>
      <c r="AL143" s="1">
        <f>SUM((AK143-AI143)/AI143)</f>
        <v>5.185159979302848E-3</v>
      </c>
      <c r="AM143" s="262">
        <v>578659270</v>
      </c>
      <c r="AN143" s="1">
        <f>SUM((AM143-AK143)/AK143)</f>
        <v>0.30254747192315157</v>
      </c>
      <c r="AO143" s="262">
        <v>654969102</v>
      </c>
      <c r="AP143" s="1">
        <f t="shared" si="99"/>
        <v>0.13187351513438988</v>
      </c>
      <c r="AQ143" s="262"/>
    </row>
    <row r="144" spans="1:43" x14ac:dyDescent="0.2">
      <c r="A144" s="3" t="s">
        <v>181</v>
      </c>
      <c r="B144" s="320">
        <f t="shared" si="128"/>
        <v>7.935319483193596E-3</v>
      </c>
      <c r="C144" s="320">
        <f>[1]Population!O135</f>
        <v>1.6180769545861656E-2</v>
      </c>
      <c r="D144" s="5">
        <v>35208465</v>
      </c>
      <c r="E144" s="5">
        <v>36483187</v>
      </c>
      <c r="F144" s="1">
        <f>SUM((E144-D144)/D144)</f>
        <v>3.620498649969546E-2</v>
      </c>
      <c r="G144" s="5">
        <v>36990742</v>
      </c>
      <c r="H144" s="1">
        <f>SUM((G144-E144)/E144)</f>
        <v>1.3912024736216165E-2</v>
      </c>
      <c r="I144" s="236">
        <v>37951799</v>
      </c>
      <c r="J144" s="1">
        <f>SUM((I144-G144)/G144)</f>
        <v>2.5981014384626293E-2</v>
      </c>
      <c r="K144" s="5">
        <v>38116242</v>
      </c>
      <c r="L144" s="1">
        <f>SUM((K144-I144)/I144)</f>
        <v>4.3329434791747291E-3</v>
      </c>
      <c r="M144" s="5">
        <v>41796083.333333336</v>
      </c>
      <c r="N144" s="1">
        <f>SUM((M144-K144)/K144)</f>
        <v>9.6542605992829406E-2</v>
      </c>
      <c r="O144" s="5">
        <v>41803125</v>
      </c>
      <c r="P144" s="1">
        <f>SUM((O144-M144)/M144)</f>
        <v>1.6847671133453531E-4</v>
      </c>
      <c r="Q144" s="5">
        <v>41832125.333337329</v>
      </c>
      <c r="R144" s="1">
        <f>SUM((Q144-O144)/O144)</f>
        <v>6.9373601464793187E-4</v>
      </c>
      <c r="S144" s="236">
        <v>41425163.666666664</v>
      </c>
      <c r="T144" s="1">
        <f>SUM((S144-Q144)/Q144)</f>
        <v>-9.728448254249818E-3</v>
      </c>
      <c r="U144" s="262">
        <v>42627093</v>
      </c>
      <c r="V144" s="1">
        <f>SUM((U144-S144)/S144)</f>
        <v>2.901447398023161E-2</v>
      </c>
      <c r="W144" s="262">
        <v>52378316</v>
      </c>
      <c r="X144" s="1">
        <f>SUM((W144-U144)/U144)</f>
        <v>0.22875646246859949</v>
      </c>
      <c r="Y144" s="262">
        <v>57998651</v>
      </c>
      <c r="Z144" s="1">
        <f>SUM((Y144-W144)/W144)</f>
        <v>0.10730270518815457</v>
      </c>
      <c r="AA144" s="262">
        <v>62869448</v>
      </c>
      <c r="AB144" s="1">
        <f>SUM((AA144-Y144)/Y144)</f>
        <v>8.3981211907842482E-2</v>
      </c>
      <c r="AC144" s="262">
        <v>64470671</v>
      </c>
      <c r="AD144" s="1">
        <f>SUM((AC144-AA144)/AA144)</f>
        <v>2.5469016365468965E-2</v>
      </c>
      <c r="AE144" s="262">
        <v>58857733</v>
      </c>
      <c r="AF144" s="1">
        <f>SUM((AE144-AC144)/AC144)</f>
        <v>-8.7061882759061099E-2</v>
      </c>
      <c r="AG144" s="262">
        <v>55656559</v>
      </c>
      <c r="AH144" s="1">
        <f>SUM((AG144-AE144)/AE144)</f>
        <v>-5.4388333305327947E-2</v>
      </c>
      <c r="AI144" s="262">
        <v>53668959</v>
      </c>
      <c r="AJ144" s="1">
        <f>SUM((AI144-AG144)/AG144)</f>
        <v>-3.5711873599659653E-2</v>
      </c>
      <c r="AK144" s="262">
        <v>56732755</v>
      </c>
      <c r="AL144" s="1">
        <f>SUM((AK144-AI144)/AI144)</f>
        <v>5.7086928032272805E-2</v>
      </c>
      <c r="AM144" s="262">
        <v>57524066</v>
      </c>
      <c r="AN144" s="1">
        <f>SUM((AM144-AK144)/AK144)</f>
        <v>1.3948044652511586E-2</v>
      </c>
      <c r="AO144" s="262">
        <v>60903135</v>
      </c>
      <c r="AP144" s="1">
        <f t="shared" si="99"/>
        <v>5.87418316361712E-2</v>
      </c>
      <c r="AQ144" s="262"/>
    </row>
    <row r="145" spans="1:42" x14ac:dyDescent="0.2">
      <c r="A145" s="3" t="s">
        <v>183</v>
      </c>
      <c r="B145" s="320">
        <f t="shared" si="128"/>
        <v>8.6613185560303792E-3</v>
      </c>
      <c r="C145" s="320"/>
      <c r="D145" s="5">
        <v>304317603</v>
      </c>
      <c r="E145" s="5">
        <v>332235139</v>
      </c>
      <c r="F145" s="1">
        <f t="shared" si="129"/>
        <v>9.1738156862388273E-2</v>
      </c>
      <c r="G145" s="5">
        <v>380359930</v>
      </c>
      <c r="H145" s="1">
        <f t="shared" si="130"/>
        <v>0.14485159861431757</v>
      </c>
      <c r="I145" s="236">
        <v>438665904</v>
      </c>
      <c r="J145" s="1">
        <f t="shared" si="131"/>
        <v>0.15329157832161763</v>
      </c>
      <c r="K145" s="5">
        <v>489326883</v>
      </c>
      <c r="L145" s="1">
        <f t="shared" si="132"/>
        <v>0.1154887547403274</v>
      </c>
      <c r="M145" s="5">
        <v>528550036.66666669</v>
      </c>
      <c r="N145" s="1">
        <f t="shared" si="132"/>
        <v>8.0157365207884329E-2</v>
      </c>
      <c r="O145" s="5">
        <v>563559793.66666675</v>
      </c>
      <c r="P145" s="1">
        <f t="shared" si="132"/>
        <v>6.6237356108782522E-2</v>
      </c>
      <c r="Q145" s="5">
        <v>610035799.00002193</v>
      </c>
      <c r="R145" s="1">
        <f t="shared" si="132"/>
        <v>8.2468632176490447E-2</v>
      </c>
      <c r="S145" s="236">
        <v>693712689</v>
      </c>
      <c r="T145" s="1">
        <f t="shared" si="132"/>
        <v>0.13716717959362751</v>
      </c>
      <c r="U145" s="262">
        <v>832855250</v>
      </c>
      <c r="V145" s="1">
        <f t="shared" si="133"/>
        <v>0.20057664103070774</v>
      </c>
      <c r="W145" s="262">
        <v>1060967969</v>
      </c>
      <c r="X145" s="1">
        <f t="shared" si="134"/>
        <v>0.27389239486693517</v>
      </c>
      <c r="Y145" s="262">
        <v>1332648321</v>
      </c>
      <c r="Z145" s="1">
        <f t="shared" si="134"/>
        <v>0.25606838277697336</v>
      </c>
      <c r="AA145" s="262">
        <v>1477706661</v>
      </c>
      <c r="AB145" s="1">
        <f t="shared" si="135"/>
        <v>0.10884967752868988</v>
      </c>
      <c r="AC145" s="262">
        <v>1297720492</v>
      </c>
      <c r="AD145" s="1">
        <f t="shared" si="136"/>
        <v>-0.12180101352334637</v>
      </c>
      <c r="AE145" s="262">
        <v>1036008549</v>
      </c>
      <c r="AF145" s="1">
        <f t="shared" si="137"/>
        <v>-0.20167050194041322</v>
      </c>
      <c r="AG145" s="262">
        <v>1024751404</v>
      </c>
      <c r="AH145" s="1">
        <f t="shared" ref="AH145:AH154" si="138">SUM((AG145-AE145)/AE145)</f>
        <v>-1.0865880412730069E-2</v>
      </c>
      <c r="AI145" s="262">
        <v>918470243</v>
      </c>
      <c r="AJ145" s="1">
        <f t="shared" ref="AJ145:AJ154" si="139">SUM((AI145-AG145)/AG145)</f>
        <v>-0.10371409161787301</v>
      </c>
      <c r="AK145" s="262">
        <v>860304588</v>
      </c>
      <c r="AL145" s="1">
        <f t="shared" ref="AL145:AL154" si="140">SUM((AK145-AI145)/AI145)</f>
        <v>-6.3328839930636704E-2</v>
      </c>
      <c r="AM145" s="262">
        <v>953965060</v>
      </c>
      <c r="AN145" s="1">
        <f t="shared" ref="AN145:AN154" si="141">SUM((AM145-AK145)/AK145)</f>
        <v>0.10886896723140572</v>
      </c>
      <c r="AO145" s="262">
        <v>1061139636</v>
      </c>
      <c r="AP145" s="1">
        <f t="shared" si="99"/>
        <v>0.11234643750998595</v>
      </c>
    </row>
    <row r="146" spans="1:42" x14ac:dyDescent="0.2">
      <c r="A146" s="3" t="s">
        <v>184</v>
      </c>
      <c r="B146" s="320">
        <f t="shared" si="128"/>
        <v>-4.5052245477485379E-3</v>
      </c>
      <c r="C146" s="320"/>
      <c r="D146" s="5">
        <v>202550107</v>
      </c>
      <c r="E146" s="5">
        <v>217383514</v>
      </c>
      <c r="F146" s="1">
        <f t="shared" si="129"/>
        <v>7.3233271607207787E-2</v>
      </c>
      <c r="G146" s="5">
        <v>229616506</v>
      </c>
      <c r="H146" s="1">
        <f t="shared" si="130"/>
        <v>5.6273779804663568E-2</v>
      </c>
      <c r="I146" s="236">
        <v>254186271</v>
      </c>
      <c r="J146" s="1">
        <f t="shared" si="131"/>
        <v>0.1070034790965768</v>
      </c>
      <c r="K146" s="5">
        <v>283094504</v>
      </c>
      <c r="L146" s="1">
        <f t="shared" si="132"/>
        <v>0.11372853807670832</v>
      </c>
      <c r="M146" s="5">
        <v>282934016.66666663</v>
      </c>
      <c r="N146" s="1">
        <f t="shared" si="132"/>
        <v>-5.6690374085599721E-4</v>
      </c>
      <c r="O146" s="5">
        <v>293565182</v>
      </c>
      <c r="P146" s="1">
        <f t="shared" si="132"/>
        <v>3.7574716036560145E-2</v>
      </c>
      <c r="Q146" s="5">
        <v>312087849.00001824</v>
      </c>
      <c r="R146" s="1">
        <f t="shared" si="132"/>
        <v>6.3095585361407872E-2</v>
      </c>
      <c r="S146" s="236">
        <v>370681364</v>
      </c>
      <c r="T146" s="1">
        <f t="shared" si="132"/>
        <v>0.1877468641849569</v>
      </c>
      <c r="U146" s="262">
        <v>440184507</v>
      </c>
      <c r="V146" s="1">
        <f t="shared" si="133"/>
        <v>0.18750104469778525</v>
      </c>
      <c r="W146" s="262">
        <v>560796729</v>
      </c>
      <c r="X146" s="1">
        <f t="shared" si="134"/>
        <v>0.27400378723461066</v>
      </c>
      <c r="Y146" s="262">
        <v>667681424</v>
      </c>
      <c r="Z146" s="1">
        <f t="shared" si="134"/>
        <v>0.1905943624004269</v>
      </c>
      <c r="AA146" s="262">
        <v>766777151</v>
      </c>
      <c r="AB146" s="1">
        <f t="shared" si="135"/>
        <v>0.14841767860835378</v>
      </c>
      <c r="AC146" s="262">
        <v>697624965</v>
      </c>
      <c r="AD146" s="1">
        <f t="shared" si="136"/>
        <v>-9.0185506844869451E-2</v>
      </c>
      <c r="AE146" s="262">
        <v>587543781</v>
      </c>
      <c r="AF146" s="1">
        <f t="shared" si="137"/>
        <v>-0.15779421540626776</v>
      </c>
      <c r="AG146" s="262">
        <v>587199909</v>
      </c>
      <c r="AH146" s="1">
        <f t="shared" si="138"/>
        <v>-5.8527042770281656E-4</v>
      </c>
      <c r="AI146" s="262">
        <v>513712274</v>
      </c>
      <c r="AJ146" s="1">
        <f t="shared" si="139"/>
        <v>-0.125149261560938</v>
      </c>
      <c r="AK146" s="262">
        <v>474988736</v>
      </c>
      <c r="AL146" s="1">
        <f t="shared" si="140"/>
        <v>-7.5379818547999106E-2</v>
      </c>
      <c r="AM146" s="262">
        <v>529666146</v>
      </c>
      <c r="AN146" s="1">
        <f t="shared" si="141"/>
        <v>0.11511306659701505</v>
      </c>
      <c r="AO146" s="262">
        <v>563286790</v>
      </c>
      <c r="AP146" s="1">
        <f t="shared" si="99"/>
        <v>6.3475161200882188E-2</v>
      </c>
    </row>
    <row r="147" spans="1:42" x14ac:dyDescent="0.2">
      <c r="A147" s="3" t="s">
        <v>452</v>
      </c>
      <c r="B147" s="320">
        <f t="shared" si="128"/>
        <v>3.7284847546328165E-3</v>
      </c>
      <c r="C147" s="320"/>
      <c r="D147" s="5">
        <v>162285215</v>
      </c>
      <c r="E147" s="5">
        <v>174086415</v>
      </c>
      <c r="F147" s="1">
        <f t="shared" si="129"/>
        <v>7.2718885697628091E-2</v>
      </c>
      <c r="G147" s="5">
        <v>171564570</v>
      </c>
      <c r="H147" s="1">
        <f t="shared" si="130"/>
        <v>-1.4486167688616025E-2</v>
      </c>
      <c r="I147" s="236">
        <v>178439458</v>
      </c>
      <c r="J147" s="1">
        <f t="shared" si="131"/>
        <v>4.0071723433340575E-2</v>
      </c>
      <c r="K147" s="5">
        <v>182202501</v>
      </c>
      <c r="L147" s="1">
        <f t="shared" si="132"/>
        <v>2.1088626036960951E-2</v>
      </c>
      <c r="M147" s="5">
        <v>195056203.66666666</v>
      </c>
      <c r="N147" s="1">
        <f t="shared" si="132"/>
        <v>7.0546247148751573E-2</v>
      </c>
      <c r="O147" s="5">
        <v>198122482.33333334</v>
      </c>
      <c r="P147" s="1">
        <f t="shared" si="132"/>
        <v>1.5719975109874888E-2</v>
      </c>
      <c r="Q147" s="5">
        <v>200533679.0000231</v>
      </c>
      <c r="R147" s="1">
        <f t="shared" si="132"/>
        <v>1.2170232465758274E-2</v>
      </c>
      <c r="S147" s="236">
        <v>203774646.33333334</v>
      </c>
      <c r="T147" s="1">
        <f t="shared" si="132"/>
        <v>1.616171083815738E-2</v>
      </c>
      <c r="U147" s="262">
        <v>219749489</v>
      </c>
      <c r="V147" s="1">
        <f t="shared" si="133"/>
        <v>7.8394652887951055E-2</v>
      </c>
      <c r="W147" s="262">
        <v>274007238</v>
      </c>
      <c r="X147" s="1">
        <f t="shared" si="134"/>
        <v>0.24690728177301927</v>
      </c>
      <c r="Y147" s="262">
        <v>296932714</v>
      </c>
      <c r="Z147" s="1">
        <f t="shared" si="134"/>
        <v>8.3667410274760698E-2</v>
      </c>
      <c r="AA147" s="262">
        <v>316878692</v>
      </c>
      <c r="AB147" s="1">
        <f t="shared" si="135"/>
        <v>6.7173393363454056E-2</v>
      </c>
      <c r="AC147" s="262">
        <v>307832718</v>
      </c>
      <c r="AD147" s="1">
        <f t="shared" si="136"/>
        <v>-2.8547119854938054E-2</v>
      </c>
      <c r="AE147" s="262">
        <v>288418482</v>
      </c>
      <c r="AF147" s="1">
        <f t="shared" si="137"/>
        <v>-6.3067487192833088E-2</v>
      </c>
      <c r="AG147" s="262">
        <v>280658740</v>
      </c>
      <c r="AH147" s="1">
        <f t="shared" si="138"/>
        <v>-2.6904454756821027E-2</v>
      </c>
      <c r="AI147" s="262">
        <v>258254378</v>
      </c>
      <c r="AJ147" s="1">
        <f t="shared" si="139"/>
        <v>-7.9827772333047595E-2</v>
      </c>
      <c r="AK147" s="262">
        <v>259580563</v>
      </c>
      <c r="AL147" s="1">
        <f t="shared" si="140"/>
        <v>5.135188840825769E-3</v>
      </c>
      <c r="AM147" s="262">
        <v>284570146</v>
      </c>
      <c r="AN147" s="1">
        <f t="shared" si="141"/>
        <v>9.6269083906717623E-2</v>
      </c>
      <c r="AO147" s="262">
        <v>291391400</v>
      </c>
      <c r="AP147" s="1">
        <f t="shared" si="99"/>
        <v>2.3970378115489317E-2</v>
      </c>
    </row>
    <row r="148" spans="1:42" x14ac:dyDescent="0.2">
      <c r="A148" s="3" t="s">
        <v>186</v>
      </c>
      <c r="B148" s="320">
        <f t="shared" si="128"/>
        <v>1.0661947772662914E-2</v>
      </c>
      <c r="C148" s="320"/>
      <c r="D148" s="5">
        <v>68320335</v>
      </c>
      <c r="E148" s="5">
        <v>75691381</v>
      </c>
      <c r="F148" s="1">
        <f t="shared" si="129"/>
        <v>0.10788948853953952</v>
      </c>
      <c r="G148" s="5">
        <v>76307137</v>
      </c>
      <c r="H148" s="1">
        <f t="shared" si="130"/>
        <v>8.1350874018271645E-3</v>
      </c>
      <c r="I148" s="236">
        <v>79101686</v>
      </c>
      <c r="J148" s="1">
        <f t="shared" si="131"/>
        <v>3.6622380420326867E-2</v>
      </c>
      <c r="K148" s="5">
        <v>82139901</v>
      </c>
      <c r="L148" s="1">
        <f t="shared" si="132"/>
        <v>3.8408979045023134E-2</v>
      </c>
      <c r="M148" s="5">
        <v>83345605.666666657</v>
      </c>
      <c r="N148" s="1">
        <f t="shared" si="132"/>
        <v>1.4678672021611723E-2</v>
      </c>
      <c r="O148" s="5">
        <v>85514323</v>
      </c>
      <c r="P148" s="1">
        <f t="shared" si="132"/>
        <v>2.6020775972364223E-2</v>
      </c>
      <c r="Q148" s="5">
        <v>87281662.666676581</v>
      </c>
      <c r="R148" s="1">
        <f t="shared" si="132"/>
        <v>2.0667177201140689E-2</v>
      </c>
      <c r="S148" s="236">
        <v>89101371</v>
      </c>
      <c r="T148" s="1">
        <f t="shared" si="132"/>
        <v>2.0848690065320773E-2</v>
      </c>
      <c r="U148" s="262">
        <v>92429124</v>
      </c>
      <c r="V148" s="1">
        <f t="shared" si="133"/>
        <v>3.7347943838035892E-2</v>
      </c>
      <c r="W148" s="262">
        <v>105784641</v>
      </c>
      <c r="X148" s="1">
        <f t="shared" si="134"/>
        <v>0.14449468329917312</v>
      </c>
      <c r="Y148" s="262">
        <v>120057632</v>
      </c>
      <c r="Z148" s="1">
        <f t="shared" si="134"/>
        <v>0.13492498405321429</v>
      </c>
      <c r="AA148" s="262">
        <v>134485693</v>
      </c>
      <c r="AB148" s="1">
        <f t="shared" si="135"/>
        <v>0.12017612507966174</v>
      </c>
      <c r="AC148" s="262">
        <v>130850759</v>
      </c>
      <c r="AD148" s="1">
        <f t="shared" si="136"/>
        <v>-2.7028406657353506E-2</v>
      </c>
      <c r="AE148" s="262">
        <v>121880936</v>
      </c>
      <c r="AF148" s="1">
        <f t="shared" si="137"/>
        <v>-6.8550026522964227E-2</v>
      </c>
      <c r="AG148" s="262">
        <v>121798869</v>
      </c>
      <c r="AH148" s="1">
        <f t="shared" si="138"/>
        <v>-6.7333746107758809E-4</v>
      </c>
      <c r="AI148" s="262">
        <v>111925349</v>
      </c>
      <c r="AJ148" s="1">
        <f t="shared" si="139"/>
        <v>-8.1064135332816603E-2</v>
      </c>
      <c r="AK148" s="262">
        <v>114440983</v>
      </c>
      <c r="AL148" s="1">
        <f t="shared" si="140"/>
        <v>2.2475998712320297E-2</v>
      </c>
      <c r="AM148" s="262">
        <v>125332382</v>
      </c>
      <c r="AN148" s="1">
        <f t="shared" si="141"/>
        <v>9.5170442567764385E-2</v>
      </c>
      <c r="AO148" s="262">
        <v>127513262</v>
      </c>
      <c r="AP148" s="1">
        <f t="shared" si="99"/>
        <v>1.7400770377124085E-2</v>
      </c>
    </row>
    <row r="149" spans="1:42" x14ac:dyDescent="0.2">
      <c r="A149" s="3" t="s">
        <v>187</v>
      </c>
      <c r="B149" s="320">
        <f t="shared" si="128"/>
        <v>9.4207707167733197E-3</v>
      </c>
      <c r="C149" s="320"/>
      <c r="D149" s="5">
        <v>103794873</v>
      </c>
      <c r="E149" s="5">
        <v>112987058</v>
      </c>
      <c r="F149" s="1">
        <f t="shared" si="129"/>
        <v>8.8561069870955952E-2</v>
      </c>
      <c r="G149" s="5">
        <v>113421308</v>
      </c>
      <c r="H149" s="1">
        <f t="shared" si="130"/>
        <v>3.8433605378060203E-3</v>
      </c>
      <c r="I149" s="236">
        <v>117129854</v>
      </c>
      <c r="J149" s="1">
        <f t="shared" si="131"/>
        <v>3.2697083690835238E-2</v>
      </c>
      <c r="K149" s="5">
        <v>120256376</v>
      </c>
      <c r="L149" s="1">
        <f t="shared" si="132"/>
        <v>2.6692784915449481E-2</v>
      </c>
      <c r="M149" s="5">
        <v>123694438</v>
      </c>
      <c r="N149" s="1">
        <f t="shared" si="132"/>
        <v>2.8589436289016393E-2</v>
      </c>
      <c r="O149" s="5">
        <v>127497800.33333333</v>
      </c>
      <c r="P149" s="1">
        <f t="shared" si="132"/>
        <v>3.0748046515505639E-2</v>
      </c>
      <c r="Q149" s="5">
        <v>129113788.0000139</v>
      </c>
      <c r="R149" s="1">
        <f t="shared" si="132"/>
        <v>1.2674631738396249E-2</v>
      </c>
      <c r="S149" s="236">
        <v>130763884</v>
      </c>
      <c r="T149" s="1">
        <f t="shared" si="132"/>
        <v>1.2780168760798185E-2</v>
      </c>
      <c r="U149" s="262">
        <v>134556057</v>
      </c>
      <c r="V149" s="1">
        <f t="shared" si="133"/>
        <v>2.9000155731073268E-2</v>
      </c>
      <c r="W149" s="262">
        <v>158162958</v>
      </c>
      <c r="X149" s="1">
        <f t="shared" si="134"/>
        <v>0.1754428713677304</v>
      </c>
      <c r="Y149" s="262">
        <v>178056283</v>
      </c>
      <c r="Z149" s="1">
        <f t="shared" si="134"/>
        <v>0.1257773959943263</v>
      </c>
      <c r="AA149" s="262">
        <v>197400037</v>
      </c>
      <c r="AB149" s="1">
        <f t="shared" si="135"/>
        <v>0.10863842417737092</v>
      </c>
      <c r="AC149" s="262">
        <v>195321430</v>
      </c>
      <c r="AD149" s="1">
        <f t="shared" si="136"/>
        <v>-1.0529922038464461E-2</v>
      </c>
      <c r="AE149" s="262">
        <v>180782956</v>
      </c>
      <c r="AF149" s="1">
        <f t="shared" si="137"/>
        <v>-7.4433583657461444E-2</v>
      </c>
      <c r="AG149" s="262">
        <v>177455428</v>
      </c>
      <c r="AH149" s="1">
        <f t="shared" si="138"/>
        <v>-1.8406204177787645E-2</v>
      </c>
      <c r="AI149" s="262">
        <v>165594308</v>
      </c>
      <c r="AJ149" s="1">
        <f t="shared" si="139"/>
        <v>-6.6839995449448866E-2</v>
      </c>
      <c r="AK149" s="262">
        <v>171173738</v>
      </c>
      <c r="AL149" s="1">
        <f t="shared" si="140"/>
        <v>3.369336825273004E-2</v>
      </c>
      <c r="AM149" s="262">
        <v>182856449</v>
      </c>
      <c r="AN149" s="1">
        <f t="shared" si="141"/>
        <v>6.8250603956548528E-2</v>
      </c>
      <c r="AO149" s="262">
        <v>188416397</v>
      </c>
      <c r="AP149" s="1">
        <f t="shared" si="99"/>
        <v>3.0406081001824552E-2</v>
      </c>
    </row>
    <row r="150" spans="1:42" x14ac:dyDescent="0.2">
      <c r="A150" s="3" t="s">
        <v>188</v>
      </c>
      <c r="B150" s="320">
        <f t="shared" si="128"/>
        <v>8.5494503314291953E-2</v>
      </c>
      <c r="C150" s="320"/>
      <c r="D150" s="5">
        <v>102739227</v>
      </c>
      <c r="E150" s="5">
        <v>114851624</v>
      </c>
      <c r="F150" s="1">
        <f t="shared" si="129"/>
        <v>0.11789457010417258</v>
      </c>
      <c r="G150" s="5">
        <v>151402451</v>
      </c>
      <c r="H150" s="1">
        <f t="shared" si="130"/>
        <v>0.31824388482308269</v>
      </c>
      <c r="I150" s="236">
        <v>187568265</v>
      </c>
      <c r="J150" s="1">
        <f t="shared" si="131"/>
        <v>0.23887205102115552</v>
      </c>
      <c r="K150" s="5">
        <v>212507285</v>
      </c>
      <c r="L150" s="1">
        <f t="shared" si="132"/>
        <v>0.13295969869956412</v>
      </c>
      <c r="M150" s="5">
        <v>245326581.66666669</v>
      </c>
      <c r="N150" s="1">
        <f t="shared" si="132"/>
        <v>0.15443845450600288</v>
      </c>
      <c r="O150" s="5">
        <v>266676827.66666666</v>
      </c>
      <c r="P150" s="1">
        <f t="shared" si="132"/>
        <v>8.702785427878848E-2</v>
      </c>
      <c r="Q150" s="5">
        <v>297724325.66666985</v>
      </c>
      <c r="R150" s="1">
        <f t="shared" si="132"/>
        <v>0.11642368132116482</v>
      </c>
      <c r="S150" s="236">
        <v>323086274</v>
      </c>
      <c r="T150" s="1">
        <f t="shared" si="132"/>
        <v>8.518601319035389E-2</v>
      </c>
      <c r="U150" s="262">
        <v>392511454</v>
      </c>
      <c r="V150" s="1">
        <f t="shared" si="133"/>
        <v>0.21488124252533242</v>
      </c>
      <c r="W150" s="262">
        <v>528976139</v>
      </c>
      <c r="X150" s="1">
        <f t="shared" si="134"/>
        <v>0.34767058033419834</v>
      </c>
      <c r="Y150" s="262">
        <v>697927645</v>
      </c>
      <c r="Z150" s="1">
        <f t="shared" si="134"/>
        <v>0.31939343487098198</v>
      </c>
      <c r="AA150" s="262">
        <v>770813162</v>
      </c>
      <c r="AB150" s="1">
        <f t="shared" si="135"/>
        <v>0.10443133686157395</v>
      </c>
      <c r="AC150" s="262">
        <v>646764605</v>
      </c>
      <c r="AD150" s="1">
        <f t="shared" si="136"/>
        <v>-0.16093206903490836</v>
      </c>
      <c r="AE150" s="262">
        <v>460082053</v>
      </c>
      <c r="AF150" s="1">
        <f t="shared" si="137"/>
        <v>-0.28864064383980936</v>
      </c>
      <c r="AG150" s="262">
        <v>486627714</v>
      </c>
      <c r="AH150" s="1">
        <f t="shared" si="138"/>
        <v>5.7697666811619794E-2</v>
      </c>
      <c r="AI150" s="262">
        <v>454457806</v>
      </c>
      <c r="AJ150" s="1">
        <f t="shared" si="139"/>
        <v>-6.6107841938488524E-2</v>
      </c>
      <c r="AK150" s="262">
        <v>458207466</v>
      </c>
      <c r="AL150" s="1">
        <f t="shared" si="140"/>
        <v>8.25084298364984E-3</v>
      </c>
      <c r="AM150" s="262">
        <v>605901904</v>
      </c>
      <c r="AN150" s="1">
        <f t="shared" si="141"/>
        <v>0.32233092858421475</v>
      </c>
      <c r="AO150" s="262">
        <v>669703932</v>
      </c>
      <c r="AP150" s="1">
        <f t="shared" si="99"/>
        <v>0.1053009201304639</v>
      </c>
    </row>
    <row r="151" spans="1:42" x14ac:dyDescent="0.2">
      <c r="A151" s="3" t="s">
        <v>189</v>
      </c>
      <c r="B151" s="320">
        <f t="shared" si="128"/>
        <v>-5.4412073993360656E-2</v>
      </c>
      <c r="C151" s="320"/>
      <c r="D151" s="5">
        <v>58842597</v>
      </c>
      <c r="E151" s="5">
        <v>61006332</v>
      </c>
      <c r="F151" s="1">
        <f t="shared" si="129"/>
        <v>3.6771575530563344E-2</v>
      </c>
      <c r="G151" s="5">
        <v>64847250</v>
      </c>
      <c r="H151" s="1">
        <f t="shared" si="130"/>
        <v>6.2959333467221074E-2</v>
      </c>
      <c r="I151" s="236">
        <v>70187515</v>
      </c>
      <c r="J151" s="1">
        <f t="shared" si="131"/>
        <v>8.2351448982030853E-2</v>
      </c>
      <c r="K151" s="5">
        <v>78126934</v>
      </c>
      <c r="L151" s="1">
        <f t="shared" si="132"/>
        <v>0.11311725454306225</v>
      </c>
      <c r="M151" s="5">
        <v>84864184.666666672</v>
      </c>
      <c r="N151" s="1">
        <f t="shared" si="132"/>
        <v>8.6234673776737117E-2</v>
      </c>
      <c r="O151" s="5">
        <v>86303293</v>
      </c>
      <c r="P151" s="1">
        <f t="shared" si="132"/>
        <v>1.6957781883911595E-2</v>
      </c>
      <c r="Q151" s="5">
        <v>88168983</v>
      </c>
      <c r="R151" s="1">
        <f t="shared" si="132"/>
        <v>2.1617830967353702E-2</v>
      </c>
      <c r="S151" s="236">
        <v>88464715</v>
      </c>
      <c r="T151" s="1">
        <f t="shared" si="132"/>
        <v>3.3541500643145673E-3</v>
      </c>
      <c r="U151" s="262">
        <v>101233082</v>
      </c>
      <c r="V151" s="1">
        <f t="shared" si="133"/>
        <v>0.14433287893370819</v>
      </c>
      <c r="W151" s="262">
        <v>126249794</v>
      </c>
      <c r="X151" s="1">
        <f t="shared" si="134"/>
        <v>0.24711992864150872</v>
      </c>
      <c r="Y151" s="262">
        <v>170306646</v>
      </c>
      <c r="Z151" s="1">
        <f t="shared" si="134"/>
        <v>0.34896573375794976</v>
      </c>
      <c r="AA151" s="262">
        <v>196491583</v>
      </c>
      <c r="AB151" s="1">
        <f t="shared" si="135"/>
        <v>0.15375170385306045</v>
      </c>
      <c r="AC151" s="262">
        <v>184603204</v>
      </c>
      <c r="AD151" s="1">
        <f t="shared" si="136"/>
        <v>-6.050324812132029E-2</v>
      </c>
      <c r="AE151" s="262">
        <v>157199616</v>
      </c>
      <c r="AF151" s="1">
        <f t="shared" si="137"/>
        <v>-0.14844589587946697</v>
      </c>
      <c r="AG151" s="262">
        <v>155096458</v>
      </c>
      <c r="AH151" s="1">
        <f t="shared" si="138"/>
        <v>-1.3378900365761708E-2</v>
      </c>
      <c r="AI151" s="262">
        <v>128029047</v>
      </c>
      <c r="AJ151" s="1">
        <f t="shared" si="139"/>
        <v>-0.17451985267129699</v>
      </c>
      <c r="AK151" s="262">
        <v>102559688</v>
      </c>
      <c r="AL151" s="1">
        <f t="shared" si="140"/>
        <v>-0.1989342231064174</v>
      </c>
      <c r="AM151" s="262">
        <v>109923187</v>
      </c>
      <c r="AN151" s="1">
        <f t="shared" si="141"/>
        <v>7.1797205545321083E-2</v>
      </c>
      <c r="AO151" s="262">
        <v>114647180</v>
      </c>
      <c r="AP151" s="1">
        <f t="shared" si="99"/>
        <v>4.297540063135178E-2</v>
      </c>
    </row>
    <row r="152" spans="1:42" x14ac:dyDescent="0.2">
      <c r="A152" s="3" t="s">
        <v>190</v>
      </c>
      <c r="B152" s="320">
        <f t="shared" si="128"/>
        <v>-2.6515095371847697E-2</v>
      </c>
      <c r="C152" s="320"/>
      <c r="D152" s="5">
        <v>30739751</v>
      </c>
      <c r="E152" s="5">
        <v>34163601</v>
      </c>
      <c r="F152" s="1">
        <f t="shared" si="129"/>
        <v>0.1113818391046824</v>
      </c>
      <c r="G152" s="5">
        <v>34588473</v>
      </c>
      <c r="H152" s="1">
        <f t="shared" si="130"/>
        <v>1.2436393926975087E-2</v>
      </c>
      <c r="I152" s="236">
        <v>36427722</v>
      </c>
      <c r="J152" s="1">
        <f t="shared" si="131"/>
        <v>5.3175200882675563E-2</v>
      </c>
      <c r="K152" s="5">
        <v>37638487</v>
      </c>
      <c r="L152" s="1">
        <f t="shared" si="132"/>
        <v>3.3237461293901385E-2</v>
      </c>
      <c r="M152" s="5">
        <v>42185534</v>
      </c>
      <c r="N152" s="1">
        <f t="shared" si="132"/>
        <v>0.12080844269856011</v>
      </c>
      <c r="O152" s="5">
        <v>43572950.666666664</v>
      </c>
      <c r="P152" s="1">
        <f t="shared" si="132"/>
        <v>3.2888446230564826E-2</v>
      </c>
      <c r="Q152" s="5">
        <v>45108602.0000045</v>
      </c>
      <c r="R152" s="1">
        <f t="shared" si="132"/>
        <v>3.5243225667354453E-2</v>
      </c>
      <c r="S152" s="236">
        <v>48627002</v>
      </c>
      <c r="T152" s="1">
        <f t="shared" si="132"/>
        <v>7.7998426996144746E-2</v>
      </c>
      <c r="U152" s="262">
        <v>59670181</v>
      </c>
      <c r="V152" s="1">
        <f t="shared" si="133"/>
        <v>0.22709972948774429</v>
      </c>
      <c r="W152" s="262">
        <v>89187130.594559222</v>
      </c>
      <c r="X152" s="1">
        <f t="shared" si="134"/>
        <v>0.4946683435493387</v>
      </c>
      <c r="Y152" s="262">
        <v>92325201</v>
      </c>
      <c r="Z152" s="1">
        <f t="shared" si="134"/>
        <v>3.5185237875925257E-2</v>
      </c>
      <c r="AA152" s="262">
        <v>100630395</v>
      </c>
      <c r="AB152" s="1">
        <f t="shared" si="135"/>
        <v>8.9955872395013792E-2</v>
      </c>
      <c r="AC152" s="262">
        <v>92354663</v>
      </c>
      <c r="AD152" s="1">
        <f t="shared" si="136"/>
        <v>-8.2238890148448693E-2</v>
      </c>
      <c r="AE152" s="262">
        <v>87381602</v>
      </c>
      <c r="AF152" s="1">
        <f t="shared" si="137"/>
        <v>-5.3847427281500666E-2</v>
      </c>
      <c r="AG152" s="262">
        <v>82269879</v>
      </c>
      <c r="AH152" s="1">
        <f t="shared" si="138"/>
        <v>-5.8498847388950365E-2</v>
      </c>
      <c r="AI152" s="262">
        <v>77438382</v>
      </c>
      <c r="AJ152" s="1">
        <f t="shared" si="139"/>
        <v>-5.872741103703337E-2</v>
      </c>
      <c r="AK152" s="262">
        <v>72679740</v>
      </c>
      <c r="AL152" s="1">
        <f t="shared" si="140"/>
        <v>-6.1450689917565686E-2</v>
      </c>
      <c r="AM152" s="262">
        <v>74775517</v>
      </c>
      <c r="AN152" s="1">
        <f t="shared" si="141"/>
        <v>2.8835780094975574E-2</v>
      </c>
      <c r="AO152" s="262">
        <v>76066568</v>
      </c>
      <c r="AP152" s="1">
        <f t="shared" si="99"/>
        <v>1.7265691389335362E-2</v>
      </c>
    </row>
    <row r="153" spans="1:42" x14ac:dyDescent="0.2">
      <c r="A153" s="3" t="s">
        <v>191</v>
      </c>
      <c r="B153" s="320">
        <f t="shared" si="128"/>
        <v>-4.9405404356598973E-2</v>
      </c>
      <c r="C153" s="320"/>
      <c r="D153" s="5">
        <v>5188920</v>
      </c>
      <c r="E153" s="5">
        <v>5427278</v>
      </c>
      <c r="F153" s="1">
        <f t="shared" si="129"/>
        <v>4.593595584437609E-2</v>
      </c>
      <c r="G153" s="5">
        <v>5815160</v>
      </c>
      <c r="H153" s="1">
        <f t="shared" si="130"/>
        <v>7.1468975792284825E-2</v>
      </c>
      <c r="I153" s="236">
        <v>6206123</v>
      </c>
      <c r="J153" s="1">
        <f t="shared" si="131"/>
        <v>6.7231684080919521E-2</v>
      </c>
      <c r="K153" s="5">
        <v>6994338</v>
      </c>
      <c r="L153" s="1">
        <f t="shared" si="132"/>
        <v>0.12700602292284571</v>
      </c>
      <c r="M153" s="5">
        <v>9067150.666666666</v>
      </c>
      <c r="N153" s="1">
        <f t="shared" si="132"/>
        <v>0.29635580474759243</v>
      </c>
      <c r="O153" s="5">
        <v>9358976</v>
      </c>
      <c r="P153" s="1">
        <f t="shared" si="132"/>
        <v>3.2184899541392198E-2</v>
      </c>
      <c r="Q153" s="5">
        <v>9683475.6666710675</v>
      </c>
      <c r="R153" s="1">
        <f t="shared" si="132"/>
        <v>3.4672561044185549E-2</v>
      </c>
      <c r="S153" s="236">
        <v>10870894</v>
      </c>
      <c r="T153" s="1">
        <f t="shared" si="132"/>
        <v>0.12262315455759665</v>
      </c>
      <c r="U153" s="262">
        <v>14111973</v>
      </c>
      <c r="V153" s="1">
        <f t="shared" si="133"/>
        <v>0.29814282063646286</v>
      </c>
      <c r="W153" s="262">
        <v>17604973</v>
      </c>
      <c r="X153" s="1">
        <f t="shared" si="134"/>
        <v>0.24752031484187223</v>
      </c>
      <c r="Y153" s="262">
        <v>24192284</v>
      </c>
      <c r="Z153" s="1">
        <f t="shared" si="134"/>
        <v>0.37417330887130584</v>
      </c>
      <c r="AA153" s="262">
        <v>26440408</v>
      </c>
      <c r="AB153" s="1">
        <f t="shared" si="135"/>
        <v>9.292731517206064E-2</v>
      </c>
      <c r="AC153" s="262">
        <v>24342066</v>
      </c>
      <c r="AD153" s="1">
        <f t="shared" si="136"/>
        <v>-7.9361180810825618E-2</v>
      </c>
      <c r="AE153" s="262">
        <v>20193024</v>
      </c>
      <c r="AF153" s="1">
        <f t="shared" si="137"/>
        <v>-0.17044740573786957</v>
      </c>
      <c r="AG153" s="262">
        <v>19860063</v>
      </c>
      <c r="AH153" s="1">
        <f t="shared" si="138"/>
        <v>-1.6488912210474271E-2</v>
      </c>
      <c r="AI153" s="262">
        <v>16523873</v>
      </c>
      <c r="AJ153" s="1">
        <f t="shared" si="139"/>
        <v>-0.16798486490198949</v>
      </c>
      <c r="AK153" s="262">
        <v>12852867</v>
      </c>
      <c r="AL153" s="1">
        <f t="shared" si="140"/>
        <v>-0.22216377480025415</v>
      </c>
      <c r="AM153" s="262">
        <v>13373881</v>
      </c>
      <c r="AN153" s="1">
        <f t="shared" si="141"/>
        <v>4.0536792297002681E-2</v>
      </c>
      <c r="AO153" s="262">
        <v>14966359</v>
      </c>
      <c r="AP153" s="1">
        <f t="shared" si="99"/>
        <v>0.11907373783272036</v>
      </c>
    </row>
    <row r="154" spans="1:42" x14ac:dyDescent="0.2">
      <c r="A154" s="3" t="s">
        <v>192</v>
      </c>
      <c r="B154" s="320">
        <f t="shared" si="128"/>
        <v>-1.5469014803676207E-2</v>
      </c>
      <c r="C154" s="320"/>
      <c r="D154" s="5">
        <v>1336260</v>
      </c>
      <c r="E154" s="5">
        <v>2018973</v>
      </c>
      <c r="F154" s="1">
        <f t="shared" si="129"/>
        <v>0.51091329531677965</v>
      </c>
      <c r="G154" s="5">
        <v>2085228</v>
      </c>
      <c r="H154" s="1">
        <f t="shared" si="130"/>
        <v>3.2816189220955409E-2</v>
      </c>
      <c r="I154" s="236">
        <v>2234509</v>
      </c>
      <c r="J154" s="1">
        <f t="shared" si="131"/>
        <v>7.1589773396482301E-2</v>
      </c>
      <c r="K154" s="5">
        <v>2216367</v>
      </c>
      <c r="L154" s="1">
        <f t="shared" si="132"/>
        <v>-8.1190095900262656E-3</v>
      </c>
      <c r="M154" s="5">
        <v>2419334</v>
      </c>
      <c r="N154" s="1">
        <f t="shared" si="132"/>
        <v>9.1576440183417276E-2</v>
      </c>
      <c r="O154" s="5">
        <v>2498193</v>
      </c>
      <c r="P154" s="1">
        <f t="shared" si="132"/>
        <v>3.2595334087810943E-2</v>
      </c>
      <c r="Q154" s="5">
        <v>2673768.6666708668</v>
      </c>
      <c r="R154" s="1">
        <f t="shared" si="132"/>
        <v>7.0281065822723379E-2</v>
      </c>
      <c r="S154" s="236">
        <v>2754489.5</v>
      </c>
      <c r="T154" s="1">
        <f t="shared" si="132"/>
        <v>3.0189909222640213E-2</v>
      </c>
      <c r="U154" s="262">
        <v>3188192</v>
      </c>
      <c r="V154" s="1">
        <f t="shared" si="133"/>
        <v>0.1574529509007023</v>
      </c>
      <c r="W154" s="262">
        <v>4985975</v>
      </c>
      <c r="X154" s="1">
        <f t="shared" si="134"/>
        <v>0.56388793397637282</v>
      </c>
      <c r="Y154" s="262">
        <v>5325704</v>
      </c>
      <c r="Z154" s="1">
        <f t="shared" si="134"/>
        <v>6.8136924072022015E-2</v>
      </c>
      <c r="AA154" s="262">
        <v>5506329</v>
      </c>
      <c r="AB154" s="1">
        <f t="shared" si="135"/>
        <v>3.3915703914449619E-2</v>
      </c>
      <c r="AC154" s="262">
        <v>5081650</v>
      </c>
      <c r="AD154" s="1">
        <f t="shared" si="136"/>
        <v>-7.7125613089955219E-2</v>
      </c>
      <c r="AE154" s="262">
        <v>4608829</v>
      </c>
      <c r="AF154" s="1">
        <f t="shared" si="137"/>
        <v>-9.3044778762803426E-2</v>
      </c>
      <c r="AG154" s="262">
        <v>4491094</v>
      </c>
      <c r="AH154" s="1">
        <f t="shared" si="138"/>
        <v>-2.5545534451375827E-2</v>
      </c>
      <c r="AI154" s="262">
        <v>3298994</v>
      </c>
      <c r="AJ154" s="1">
        <f t="shared" si="139"/>
        <v>-0.26543643931745808</v>
      </c>
      <c r="AK154" s="262">
        <v>3250258</v>
      </c>
      <c r="AL154" s="1">
        <f t="shared" si="140"/>
        <v>-1.4772988371606618E-2</v>
      </c>
      <c r="AM154" s="262">
        <v>3765596</v>
      </c>
      <c r="AN154" s="1">
        <f t="shared" si="141"/>
        <v>0.15855295179644199</v>
      </c>
      <c r="AO154" s="262">
        <v>4028649</v>
      </c>
      <c r="AP154" s="1">
        <f t="shared" si="99"/>
        <v>6.9856936325617514E-2</v>
      </c>
    </row>
    <row r="155" spans="1:42" x14ac:dyDescent="0.2">
      <c r="B155" s="320"/>
      <c r="C155" s="320"/>
      <c r="D155" s="5"/>
      <c r="F155" s="5"/>
      <c r="J155" s="1"/>
      <c r="L155" s="1"/>
      <c r="N155" s="1"/>
      <c r="P155" s="1"/>
      <c r="R155" s="1"/>
      <c r="T155" s="1"/>
      <c r="V155" s="1"/>
      <c r="X155" s="1"/>
      <c r="Z155" s="1"/>
      <c r="AB155" s="1"/>
      <c r="AD155" s="1"/>
      <c r="AF155" s="1"/>
      <c r="AH155" s="1"/>
      <c r="AJ155" s="1"/>
      <c r="AL155" s="1"/>
      <c r="AN155" s="1"/>
      <c r="AO155" s="262"/>
      <c r="AP155" s="1"/>
    </row>
    <row r="156" spans="1:42" x14ac:dyDescent="0.2">
      <c r="B156" s="320"/>
      <c r="C156" s="320"/>
      <c r="D156" s="5"/>
      <c r="F156" s="5"/>
      <c r="J156" s="1"/>
      <c r="L156" s="1"/>
      <c r="N156" s="1"/>
      <c r="P156" s="1"/>
      <c r="R156" s="1"/>
      <c r="T156" s="1"/>
      <c r="V156" s="1"/>
      <c r="X156" s="1"/>
      <c r="Z156" s="1"/>
      <c r="AB156" s="1"/>
      <c r="AD156" s="1"/>
      <c r="AF156" s="1"/>
      <c r="AH156" s="1"/>
      <c r="AJ156" s="1"/>
      <c r="AL156" s="1"/>
      <c r="AN156" s="1"/>
      <c r="AO156" s="262"/>
      <c r="AP156" s="1"/>
    </row>
    <row r="157" spans="1:42" x14ac:dyDescent="0.2">
      <c r="B157" s="320"/>
      <c r="C157" s="320"/>
      <c r="D157" s="5"/>
      <c r="F157" s="5"/>
      <c r="J157" s="1"/>
      <c r="L157" s="1"/>
      <c r="N157" s="1"/>
      <c r="P157" s="1"/>
      <c r="R157" s="1"/>
      <c r="T157" s="1"/>
      <c r="V157" s="1"/>
      <c r="X157" s="1"/>
      <c r="Z157" s="1"/>
      <c r="AB157" s="1"/>
      <c r="AD157" s="1"/>
      <c r="AF157" s="1"/>
      <c r="AH157" s="1"/>
      <c r="AJ157" s="1"/>
      <c r="AL157" s="1"/>
      <c r="AN157" s="1"/>
      <c r="AO157" s="262"/>
      <c r="AP157" s="1"/>
    </row>
    <row r="158" spans="1:42" x14ac:dyDescent="0.2">
      <c r="A158" s="3" t="s">
        <v>193</v>
      </c>
      <c r="B158" s="320">
        <f t="shared" ref="B158:B159" si="142">SUM((AL158+AN158+AP158+AJ158+AH158)/5)</f>
        <v>9.7981960118885908E-2</v>
      </c>
      <c r="C158" s="320">
        <f>[1]Population!O150</f>
        <v>-8.406838605764291E-3</v>
      </c>
      <c r="D158" s="5">
        <v>153071626</v>
      </c>
      <c r="E158" s="5">
        <v>109946509</v>
      </c>
      <c r="F158" s="1">
        <f>SUM((E158-D158)/D158)</f>
        <v>-0.28173161889584947</v>
      </c>
      <c r="G158" s="5">
        <v>103843538</v>
      </c>
      <c r="H158" s="1">
        <f>SUM((G158-E158)/E158)</f>
        <v>-5.5508547342781024E-2</v>
      </c>
      <c r="I158" s="236">
        <v>97463435</v>
      </c>
      <c r="J158" s="1">
        <f>SUM((I158-G158)/G158)</f>
        <v>-6.1439576529066259E-2</v>
      </c>
      <c r="K158" s="5">
        <v>91034556</v>
      </c>
      <c r="L158" s="1">
        <f>SUM((K158-I158)/I158)</f>
        <v>-6.5961957938379653E-2</v>
      </c>
      <c r="M158" s="5">
        <v>83578257</v>
      </c>
      <c r="N158" s="1">
        <f>SUM((M158-K158)/K158)</f>
        <v>-8.1906248875427037E-2</v>
      </c>
      <c r="O158" s="5">
        <v>75955299</v>
      </c>
      <c r="P158" s="1">
        <f>SUM((O158-M158)/M158)</f>
        <v>-9.1207429702679726E-2</v>
      </c>
      <c r="Q158" s="5">
        <v>73008979.000011206</v>
      </c>
      <c r="R158" s="1">
        <f>SUM((Q158-O158)/O158)</f>
        <v>-3.8790183684074421E-2</v>
      </c>
      <c r="S158" s="236">
        <v>70515013</v>
      </c>
      <c r="T158" s="1">
        <f>SUM((S158-Q158)/Q158)</f>
        <v>-3.4159716163279355E-2</v>
      </c>
      <c r="U158" s="262">
        <v>71859348</v>
      </c>
      <c r="V158" s="1">
        <f>SUM((U158-S158)/S158)</f>
        <v>1.9064521763613659E-2</v>
      </c>
      <c r="W158" s="262">
        <v>75209400</v>
      </c>
      <c r="X158" s="1">
        <f>SUM((W158-U158)/U158)</f>
        <v>4.6619571332598232E-2</v>
      </c>
      <c r="Y158" s="262">
        <v>84373053</v>
      </c>
      <c r="Z158" s="1">
        <f>SUM((Y158-W158)/W158)</f>
        <v>0.12184185753376572</v>
      </c>
      <c r="AA158" s="262">
        <v>88969218</v>
      </c>
      <c r="AB158" s="1">
        <f>SUM((AA158-Y158)/Y158)</f>
        <v>5.4474323691949371E-2</v>
      </c>
      <c r="AC158" s="262">
        <v>97541182</v>
      </c>
      <c r="AD158" s="1">
        <f>SUM((AC158-AA158)/AA158)</f>
        <v>9.6347525500336526E-2</v>
      </c>
      <c r="AE158" s="262">
        <v>97379249</v>
      </c>
      <c r="AF158" s="1">
        <f>SUM((AE158-AC158)/AC158)</f>
        <v>-1.6601500687166166E-3</v>
      </c>
      <c r="AG158" s="262">
        <v>92337073</v>
      </c>
      <c r="AH158" s="1">
        <f>SUM((AG158-AE158)/AE158)</f>
        <v>-5.1778752165155845E-2</v>
      </c>
      <c r="AI158" s="262">
        <v>110430244</v>
      </c>
      <c r="AJ158" s="1">
        <f>SUM((AI158-AG158)/AG158)</f>
        <v>0.19594698437105537</v>
      </c>
      <c r="AK158" s="262">
        <v>108680698</v>
      </c>
      <c r="AL158" s="1">
        <f>SUM((AK158-AI158)/AI158)</f>
        <v>-1.5842996779034554E-2</v>
      </c>
      <c r="AM158" s="262">
        <v>134556573</v>
      </c>
      <c r="AN158" s="1">
        <f>SUM((AM158-AK158)/AK158)</f>
        <v>0.23809080615216513</v>
      </c>
      <c r="AO158" s="262">
        <v>151173470</v>
      </c>
      <c r="AP158" s="1">
        <f t="shared" si="99"/>
        <v>0.12349375901539941</v>
      </c>
    </row>
    <row r="159" spans="1:42" x14ac:dyDescent="0.2">
      <c r="A159" s="3" t="s">
        <v>194</v>
      </c>
      <c r="B159" s="320">
        <f t="shared" si="142"/>
        <v>9.7981960118885908E-2</v>
      </c>
      <c r="C159" s="320"/>
      <c r="D159" s="5">
        <v>153071626</v>
      </c>
      <c r="E159" s="5">
        <v>109946509</v>
      </c>
      <c r="F159" s="1">
        <f>SUM((E159-D159)/D159)</f>
        <v>-0.28173161889584947</v>
      </c>
      <c r="G159" s="5">
        <v>103843538</v>
      </c>
      <c r="H159" s="1">
        <f>SUM((G159-E159)/E159)</f>
        <v>-5.5508547342781024E-2</v>
      </c>
      <c r="I159" s="236">
        <v>97463435</v>
      </c>
      <c r="J159" s="1">
        <f>SUM((I159-G159)/G159)</f>
        <v>-6.1439576529066259E-2</v>
      </c>
      <c r="K159" s="5">
        <v>91034556</v>
      </c>
      <c r="L159" s="1">
        <f>SUM((K159-I159)/I159)</f>
        <v>-6.5961957938379653E-2</v>
      </c>
      <c r="M159" s="5">
        <v>83578257</v>
      </c>
      <c r="N159" s="1">
        <f>SUM((M159-K159)/K159)</f>
        <v>-8.1906248875427037E-2</v>
      </c>
      <c r="O159" s="5">
        <v>75955299</v>
      </c>
      <c r="P159" s="1">
        <f>SUM((O159-M159)/M159)</f>
        <v>-9.1207429702679726E-2</v>
      </c>
      <c r="Q159" s="5">
        <v>73008979.000011206</v>
      </c>
      <c r="R159" s="1">
        <f>SUM((Q159-O159)/O159)</f>
        <v>-3.8790183684074421E-2</v>
      </c>
      <c r="S159" s="236">
        <v>70515013</v>
      </c>
      <c r="T159" s="1">
        <f>SUM((S159-Q159)/Q159)</f>
        <v>-3.4159716163279355E-2</v>
      </c>
      <c r="U159" s="262">
        <v>71859348</v>
      </c>
      <c r="V159" s="1">
        <f>SUM((U159-S159)/S159)</f>
        <v>1.9064521763613659E-2</v>
      </c>
      <c r="W159" s="262">
        <v>75209400</v>
      </c>
      <c r="X159" s="1">
        <f>SUM((W159-U159)/U159)</f>
        <v>4.6619571332598232E-2</v>
      </c>
      <c r="Y159" s="262">
        <v>84373053</v>
      </c>
      <c r="Z159" s="1">
        <f>SUM((Y159-W159)/W159)</f>
        <v>0.12184185753376572</v>
      </c>
      <c r="AA159" s="262">
        <v>88969218</v>
      </c>
      <c r="AB159" s="1">
        <f>SUM((AA159-Y159)/Y159)</f>
        <v>5.4474323691949371E-2</v>
      </c>
      <c r="AC159" s="262">
        <v>97541182</v>
      </c>
      <c r="AD159" s="1">
        <f>SUM((AC159-AA159)/AA159)</f>
        <v>9.6347525500336526E-2</v>
      </c>
      <c r="AE159" s="262">
        <v>97379249</v>
      </c>
      <c r="AF159" s="1">
        <f>SUM((AE159-AC159)/AC159)</f>
        <v>-1.6601500687166166E-3</v>
      </c>
      <c r="AG159" s="262">
        <v>92337073</v>
      </c>
      <c r="AH159" s="1">
        <f>SUM((AG159-AE159)/AE159)</f>
        <v>-5.1778752165155845E-2</v>
      </c>
      <c r="AI159" s="262">
        <v>110430244</v>
      </c>
      <c r="AJ159" s="1">
        <f>SUM((AI159-AG159)/AG159)</f>
        <v>0.19594698437105537</v>
      </c>
      <c r="AK159" s="262">
        <v>108680698</v>
      </c>
      <c r="AL159" s="1">
        <f>SUM((AK159-AI159)/AI159)</f>
        <v>-1.5842996779034554E-2</v>
      </c>
      <c r="AM159" s="262">
        <v>134556573</v>
      </c>
      <c r="AN159" s="1">
        <f>SUM((AM159-AK159)/AK159)</f>
        <v>0.23809080615216513</v>
      </c>
      <c r="AO159" s="262">
        <v>151173470</v>
      </c>
      <c r="AP159" s="1">
        <f t="shared" si="99"/>
        <v>0.12349375901539941</v>
      </c>
    </row>
    <row r="160" spans="1:42" x14ac:dyDescent="0.2">
      <c r="B160" s="320"/>
      <c r="C160" s="320"/>
      <c r="D160" s="5"/>
      <c r="F160" s="5"/>
      <c r="J160" s="1"/>
      <c r="L160" s="1"/>
      <c r="N160" s="1"/>
      <c r="P160" s="1"/>
      <c r="R160" s="1"/>
      <c r="T160" s="1"/>
      <c r="V160" s="1"/>
      <c r="X160" s="1"/>
      <c r="Z160" s="1"/>
      <c r="AB160" s="1"/>
      <c r="AD160" s="1"/>
      <c r="AF160" s="1"/>
      <c r="AH160" s="1"/>
      <c r="AJ160" s="1"/>
      <c r="AL160" s="1"/>
      <c r="AN160" s="1"/>
      <c r="AO160" s="262"/>
      <c r="AP160" s="1"/>
    </row>
    <row r="161" spans="1:42" x14ac:dyDescent="0.2">
      <c r="B161" s="320"/>
      <c r="C161" s="320"/>
      <c r="D161" s="5"/>
      <c r="F161" s="5"/>
      <c r="J161" s="1"/>
      <c r="L161" s="1"/>
      <c r="N161" s="1"/>
      <c r="P161" s="1"/>
      <c r="R161" s="1"/>
      <c r="T161" s="1"/>
      <c r="V161" s="1"/>
      <c r="X161" s="1"/>
      <c r="Z161" s="1"/>
      <c r="AB161" s="1"/>
      <c r="AD161" s="1"/>
      <c r="AF161" s="1"/>
      <c r="AH161" s="1"/>
      <c r="AJ161" s="1"/>
      <c r="AL161" s="1"/>
      <c r="AN161" s="1"/>
      <c r="AO161" s="262"/>
      <c r="AP161" s="1"/>
    </row>
    <row r="162" spans="1:42" x14ac:dyDescent="0.2">
      <c r="B162" s="320"/>
      <c r="C162" s="320"/>
      <c r="D162" s="5"/>
      <c r="F162" s="5"/>
      <c r="J162" s="1"/>
      <c r="L162" s="1"/>
      <c r="N162" s="1"/>
      <c r="P162" s="1"/>
      <c r="R162" s="1"/>
      <c r="T162" s="1"/>
      <c r="V162" s="1"/>
      <c r="X162" s="1"/>
      <c r="Z162" s="1"/>
      <c r="AB162" s="1"/>
      <c r="AD162" s="1"/>
      <c r="AF162" s="1"/>
      <c r="AH162" s="1"/>
      <c r="AJ162" s="1"/>
      <c r="AL162" s="1"/>
      <c r="AN162" s="1"/>
      <c r="AO162" s="262"/>
      <c r="AP162" s="1"/>
    </row>
    <row r="163" spans="1:42" x14ac:dyDescent="0.2">
      <c r="A163" s="3" t="s">
        <v>195</v>
      </c>
      <c r="B163" s="320">
        <f t="shared" ref="B163:B178" si="143">SUM((AL163+AN163+AP163+AJ163+AH163)/5)</f>
        <v>-2.1159137404158236E-2</v>
      </c>
      <c r="C163" s="320">
        <f>[1]Population!O153</f>
        <v>4.0340418940370305E-2</v>
      </c>
      <c r="D163" s="5">
        <v>539570218</v>
      </c>
      <c r="E163" s="5">
        <v>552165303</v>
      </c>
      <c r="F163" s="1">
        <f t="shared" ref="F163:F178" si="144">SUM((E163-D163)/D163)</f>
        <v>2.3342809850932136E-2</v>
      </c>
      <c r="G163" s="5">
        <v>584889982</v>
      </c>
      <c r="H163" s="1">
        <f t="shared" ref="H163:H178" si="145">SUM((G163-E163)/E163)</f>
        <v>5.9266090828601015E-2</v>
      </c>
      <c r="I163" s="236">
        <v>647151049</v>
      </c>
      <c r="J163" s="1">
        <f t="shared" ref="J163:J178" si="146">SUM((I163-G163)/G163)</f>
        <v>0.10644919372204259</v>
      </c>
      <c r="K163" s="5">
        <v>721032425</v>
      </c>
      <c r="L163" s="1">
        <f t="shared" ref="L163:T178" si="147">SUM((K163-I163)/I163)</f>
        <v>0.11416403653237375</v>
      </c>
      <c r="M163" s="5">
        <v>756669951</v>
      </c>
      <c r="N163" s="1">
        <f t="shared" si="147"/>
        <v>4.9425691223248386E-2</v>
      </c>
      <c r="O163" s="5">
        <v>804071287</v>
      </c>
      <c r="P163" s="1">
        <f t="shared" si="147"/>
        <v>6.2644665533969385E-2</v>
      </c>
      <c r="Q163" s="5">
        <v>816286919.0000422</v>
      </c>
      <c r="R163" s="1">
        <f t="shared" si="147"/>
        <v>1.5192225114291639E-2</v>
      </c>
      <c r="S163" s="236">
        <v>872109949</v>
      </c>
      <c r="T163" s="1">
        <f t="shared" si="147"/>
        <v>6.8386530153320899E-2</v>
      </c>
      <c r="U163" s="262">
        <v>974560098</v>
      </c>
      <c r="V163" s="1">
        <f t="shared" ref="V163:V178" si="148">SUM((U163-S163)/S163)</f>
        <v>0.11747389089813032</v>
      </c>
      <c r="W163" s="262">
        <v>1220090330</v>
      </c>
      <c r="X163" s="1">
        <f t="shared" ref="X163:Z178" si="149">SUM((W163-U163)/U163)</f>
        <v>0.25193954944787816</v>
      </c>
      <c r="Y163" s="262">
        <v>1613640272</v>
      </c>
      <c r="Z163" s="1">
        <f t="shared" si="149"/>
        <v>0.3225580371577898</v>
      </c>
      <c r="AA163" s="262">
        <v>1825502531</v>
      </c>
      <c r="AB163" s="1">
        <f t="shared" ref="AB163:AB178" si="150">SUM((AA163-Y163)/Y163)</f>
        <v>0.13129460306379859</v>
      </c>
      <c r="AC163" s="262">
        <v>1922266851</v>
      </c>
      <c r="AD163" s="1">
        <f t="shared" ref="AD163:AD178" si="151">SUM((AC163-AA163)/AA163)</f>
        <v>5.3006949240981358E-2</v>
      </c>
      <c r="AE163" s="262">
        <v>1600014795</v>
      </c>
      <c r="AF163" s="1">
        <f t="shared" ref="AF163:AF172" si="152">SUM((AE163-AC163)/AC163)</f>
        <v>-0.16764168608138788</v>
      </c>
      <c r="AG163" s="262">
        <v>1100600880</v>
      </c>
      <c r="AH163" s="1">
        <f>SUM((AG163-AE163)/AE163)</f>
        <v>-0.31213081064041037</v>
      </c>
      <c r="AI163" s="262">
        <v>1033933009</v>
      </c>
      <c r="AJ163" s="1">
        <f>SUM((AI163-AG163)/AG163)</f>
        <v>-6.0574066595331086E-2</v>
      </c>
      <c r="AK163" s="262">
        <v>1133221281</v>
      </c>
      <c r="AL163" s="1">
        <f>SUM((AK163-AI163)/AI163)</f>
        <v>9.6029695479042401E-2</v>
      </c>
      <c r="AM163" s="262">
        <v>1259400684</v>
      </c>
      <c r="AN163" s="1">
        <f>SUM((AM163-AK163)/AK163)</f>
        <v>0.11134577607707316</v>
      </c>
      <c r="AO163" s="262">
        <v>1334377490</v>
      </c>
      <c r="AP163" s="1">
        <f t="shared" si="99"/>
        <v>5.9533718658834715E-2</v>
      </c>
    </row>
    <row r="164" spans="1:42" x14ac:dyDescent="0.2">
      <c r="A164" s="3" t="s">
        <v>197</v>
      </c>
      <c r="B164" s="320">
        <f t="shared" si="143"/>
        <v>-7.0048056704802658E-2</v>
      </c>
      <c r="C164" s="320">
        <f>[1]Population!O155</f>
        <v>3.0847050929040359E-2</v>
      </c>
      <c r="D164" s="5">
        <v>20480515</v>
      </c>
      <c r="E164" s="5">
        <v>23981191</v>
      </c>
      <c r="F164" s="1">
        <f t="shared" si="144"/>
        <v>0.17092714709566628</v>
      </c>
      <c r="G164" s="5">
        <v>23989877</v>
      </c>
      <c r="H164" s="1">
        <f t="shared" si="145"/>
        <v>3.6220052623741667E-4</v>
      </c>
      <c r="I164" s="236">
        <v>19665184</v>
      </c>
      <c r="J164" s="1">
        <f t="shared" si="146"/>
        <v>-0.18027157871630606</v>
      </c>
      <c r="K164" s="5">
        <v>20820013</v>
      </c>
      <c r="L164" s="1">
        <f t="shared" si="147"/>
        <v>5.8724545877628195E-2</v>
      </c>
      <c r="M164" s="5">
        <v>21717101</v>
      </c>
      <c r="N164" s="1">
        <f t="shared" si="147"/>
        <v>4.3087773288133874E-2</v>
      </c>
      <c r="O164" s="5">
        <v>21775490</v>
      </c>
      <c r="P164" s="1">
        <f t="shared" si="147"/>
        <v>2.6886185223340812E-3</v>
      </c>
      <c r="Q164" s="5">
        <v>23277848.000003699</v>
      </c>
      <c r="R164" s="1">
        <f t="shared" si="147"/>
        <v>6.8993074323640907E-2</v>
      </c>
      <c r="S164" s="236">
        <v>24652220</v>
      </c>
      <c r="T164" s="1">
        <f t="shared" si="147"/>
        <v>5.9042055777496376E-2</v>
      </c>
      <c r="U164" s="262">
        <v>26202921</v>
      </c>
      <c r="V164" s="1">
        <f t="shared" si="148"/>
        <v>6.2903097570928698E-2</v>
      </c>
      <c r="W164" s="262">
        <v>27364654</v>
      </c>
      <c r="X164" s="1">
        <f t="shared" si="149"/>
        <v>4.4336011240884175E-2</v>
      </c>
      <c r="Y164" s="262">
        <v>27117972</v>
      </c>
      <c r="Z164" s="1">
        <f t="shared" si="149"/>
        <v>-9.0146215625456112E-3</v>
      </c>
      <c r="AA164" s="262">
        <v>30681463</v>
      </c>
      <c r="AB164" s="1">
        <f t="shared" si="150"/>
        <v>0.13140698721866076</v>
      </c>
      <c r="AC164" s="262">
        <v>33136319</v>
      </c>
      <c r="AD164" s="1">
        <f t="shared" si="151"/>
        <v>8.001104771307678E-2</v>
      </c>
      <c r="AE164" s="262">
        <v>43980082</v>
      </c>
      <c r="AF164" s="1">
        <f t="shared" si="152"/>
        <v>0.32724706084583505</v>
      </c>
      <c r="AG164" s="262">
        <v>34390932</v>
      </c>
      <c r="AH164" s="1">
        <f>SUM((AG164-AE164)/AE164)</f>
        <v>-0.21803392726734797</v>
      </c>
      <c r="AI164" s="262">
        <v>36620020</v>
      </c>
      <c r="AJ164" s="1">
        <f>SUM((AI164-AG164)/AG164)</f>
        <v>6.4816155607530498E-2</v>
      </c>
      <c r="AK164" s="262">
        <v>35088299</v>
      </c>
      <c r="AL164" s="1">
        <f>SUM((AK164-AI164)/AI164)</f>
        <v>-4.182742117563016E-2</v>
      </c>
      <c r="AM164" s="262">
        <v>30297258</v>
      </c>
      <c r="AN164" s="1">
        <f>SUM((AM164-AK164)/AK164)</f>
        <v>-0.13654241261452998</v>
      </c>
      <c r="AO164" s="262">
        <v>29732133</v>
      </c>
      <c r="AP164" s="1">
        <f t="shared" si="99"/>
        <v>-1.865267807403561E-2</v>
      </c>
    </row>
    <row r="165" spans="1:42" x14ac:dyDescent="0.2">
      <c r="A165" s="3" t="s">
        <v>198</v>
      </c>
      <c r="B165" s="320">
        <f t="shared" si="143"/>
        <v>-9.8181273244489949E-3</v>
      </c>
      <c r="C165" s="320">
        <f>[1]Population!O156</f>
        <v>-1.9067208151175467E-2</v>
      </c>
      <c r="D165" s="5">
        <v>36788309</v>
      </c>
      <c r="E165" s="5">
        <v>37748765</v>
      </c>
      <c r="F165" s="1">
        <f t="shared" si="144"/>
        <v>2.6107641968539517E-2</v>
      </c>
      <c r="G165" s="5">
        <v>38168920</v>
      </c>
      <c r="H165" s="1">
        <f t="shared" si="145"/>
        <v>1.1130297905110274E-2</v>
      </c>
      <c r="I165" s="236">
        <v>36513795</v>
      </c>
      <c r="J165" s="1">
        <f t="shared" si="146"/>
        <v>-4.3363160393325252E-2</v>
      </c>
      <c r="K165" s="5">
        <v>32404724</v>
      </c>
      <c r="L165" s="1">
        <f t="shared" si="147"/>
        <v>-0.1125347556998663</v>
      </c>
      <c r="M165" s="5">
        <v>18695120.666666668</v>
      </c>
      <c r="N165" s="1">
        <f t="shared" si="147"/>
        <v>-0.42307422008387829</v>
      </c>
      <c r="O165" s="5">
        <v>15602454</v>
      </c>
      <c r="P165" s="1">
        <f t="shared" si="147"/>
        <v>-0.16542640840938144</v>
      </c>
      <c r="Q165" s="5">
        <v>15628779.0000038</v>
      </c>
      <c r="R165" s="1">
        <f t="shared" si="147"/>
        <v>1.6872345852645869E-3</v>
      </c>
      <c r="S165" s="236">
        <v>15453121</v>
      </c>
      <c r="T165" s="1">
        <f t="shared" si="147"/>
        <v>-1.1239393685441268E-2</v>
      </c>
      <c r="U165" s="262">
        <v>15390271</v>
      </c>
      <c r="V165" s="1">
        <f t="shared" si="148"/>
        <v>-4.0671395765295567E-3</v>
      </c>
      <c r="W165" s="262">
        <v>17080904</v>
      </c>
      <c r="X165" s="1">
        <f t="shared" si="149"/>
        <v>0.10985076221204942</v>
      </c>
      <c r="Y165" s="262">
        <v>15417500</v>
      </c>
      <c r="Z165" s="1">
        <f t="shared" si="149"/>
        <v>-9.7383838700808814E-2</v>
      </c>
      <c r="AA165" s="262">
        <v>17363931</v>
      </c>
      <c r="AB165" s="1">
        <f t="shared" si="150"/>
        <v>0.12624815955894275</v>
      </c>
      <c r="AC165" s="262">
        <v>17808017</v>
      </c>
      <c r="AD165" s="1">
        <f t="shared" si="151"/>
        <v>2.5575199532870754E-2</v>
      </c>
      <c r="AE165" s="262">
        <v>17444268</v>
      </c>
      <c r="AF165" s="1">
        <f t="shared" si="152"/>
        <v>-2.0426137284123212E-2</v>
      </c>
      <c r="AG165" s="262">
        <v>18500236</v>
      </c>
      <c r="AH165" s="1">
        <f>SUM((AG165-AE165)/AE165)</f>
        <v>6.0533809730508613E-2</v>
      </c>
      <c r="AI165" s="262">
        <v>25039026</v>
      </c>
      <c r="AJ165" s="1">
        <f>SUM((AI165-AG165)/AG165)</f>
        <v>0.35344359931408442</v>
      </c>
      <c r="AK165" s="262">
        <v>21747699</v>
      </c>
      <c r="AL165" s="1">
        <f>SUM((AK165-AI165)/AI165)</f>
        <v>-0.13144788459423301</v>
      </c>
      <c r="AM165" s="262">
        <v>18459054</v>
      </c>
      <c r="AN165" s="1">
        <f>SUM((AM165-AK165)/AK165)</f>
        <v>-0.15121806679410082</v>
      </c>
      <c r="AO165" s="262">
        <v>15129002</v>
      </c>
      <c r="AP165" s="1">
        <f t="shared" si="99"/>
        <v>-0.1804020942785042</v>
      </c>
    </row>
    <row r="166" spans="1:42" x14ac:dyDescent="0.2">
      <c r="A166" s="3" t="s">
        <v>196</v>
      </c>
      <c r="B166" s="320">
        <f t="shared" si="143"/>
        <v>1.5081216257823262E-2</v>
      </c>
      <c r="C166" s="320">
        <f>[1]Population!O154</f>
        <v>4.5126107795009674E-4</v>
      </c>
      <c r="D166" s="5">
        <v>3011686</v>
      </c>
      <c r="E166" s="5">
        <v>3754862</v>
      </c>
      <c r="F166" s="1">
        <f>SUM((E166-D166)/D166)</f>
        <v>0.24676410489008482</v>
      </c>
      <c r="G166" s="5">
        <v>3315690</v>
      </c>
      <c r="H166" s="1">
        <f>SUM((G166-E166)/E166)</f>
        <v>-0.11696088964121718</v>
      </c>
      <c r="I166" s="236">
        <v>3277842</v>
      </c>
      <c r="J166" s="1">
        <f>SUM((I166-G166)/G166)</f>
        <v>-1.1414818635035242E-2</v>
      </c>
      <c r="K166" s="5">
        <v>2460375</v>
      </c>
      <c r="L166" s="1">
        <f>SUM((K166-I166)/I166)</f>
        <v>-0.24939182547541949</v>
      </c>
      <c r="M166" s="5">
        <v>2410571.3333333335</v>
      </c>
      <c r="N166" s="1">
        <f>SUM((M166-K166)/K166)</f>
        <v>-2.0242307236362958E-2</v>
      </c>
      <c r="O166" s="5">
        <v>3683635.3333333335</v>
      </c>
      <c r="P166" s="1">
        <f>SUM((O166-M166)/M166)</f>
        <v>0.52811712410087008</v>
      </c>
      <c r="Q166" s="5">
        <v>2859575.0000036</v>
      </c>
      <c r="R166" s="1">
        <f>SUM((Q166-O166)/O166)</f>
        <v>-0.22370844526133879</v>
      </c>
      <c r="S166" s="236">
        <v>2506646.6666666665</v>
      </c>
      <c r="T166" s="1">
        <f>SUM((S166-Q166)/Q166)</f>
        <v>-0.12341985551576343</v>
      </c>
      <c r="U166" s="262">
        <v>2670728</v>
      </c>
      <c r="V166" s="1">
        <f>SUM((U166-S166)/S166)</f>
        <v>6.545850099867824E-2</v>
      </c>
      <c r="W166" s="262">
        <v>2596699</v>
      </c>
      <c r="X166" s="1">
        <f>SUM((W166-U166)/U166)</f>
        <v>-2.7718659481609509E-2</v>
      </c>
      <c r="Y166" s="262">
        <v>3059202</v>
      </c>
      <c r="Z166" s="1">
        <f>SUM((Y166-W166)/W166)</f>
        <v>0.17811190284280157</v>
      </c>
      <c r="AA166" s="262">
        <v>4418357</v>
      </c>
      <c r="AB166" s="1">
        <f>SUM((AA166-Y166)/Y166)</f>
        <v>0.44428416299414031</v>
      </c>
      <c r="AC166" s="262">
        <v>5781752</v>
      </c>
      <c r="AD166" s="1">
        <f>SUM((AC166-AA166)/AA166)</f>
        <v>0.30857511061238374</v>
      </c>
      <c r="AE166" s="262">
        <v>6977956</v>
      </c>
      <c r="AF166" s="1">
        <f t="shared" si="152"/>
        <v>0.20689299713996726</v>
      </c>
      <c r="AG166" s="262">
        <v>6433164</v>
      </c>
      <c r="AH166" s="1">
        <f>SUM((AG166-AE166)/AE166)</f>
        <v>-7.8073292522910717E-2</v>
      </c>
      <c r="AI166" s="262">
        <v>6817599</v>
      </c>
      <c r="AJ166" s="1">
        <f>SUM((AI166-AG166)/AG166)</f>
        <v>5.975830866429023E-2</v>
      </c>
      <c r="AK166" s="262">
        <v>8367737</v>
      </c>
      <c r="AL166" s="1">
        <f>SUM((AK166-AI166)/AI166)</f>
        <v>0.22737300917815789</v>
      </c>
      <c r="AM166" s="262">
        <v>7537711</v>
      </c>
      <c r="AN166" s="1">
        <f>SUM((AM166-AK166)/AK166)</f>
        <v>-9.9193605152743211E-2</v>
      </c>
      <c r="AO166" s="262">
        <v>7277974</v>
      </c>
      <c r="AP166" s="1">
        <f t="shared" si="99"/>
        <v>-3.4458338877677852E-2</v>
      </c>
    </row>
    <row r="167" spans="1:42" x14ac:dyDescent="0.2">
      <c r="A167" s="3" t="s">
        <v>199</v>
      </c>
      <c r="B167" s="320">
        <f t="shared" si="143"/>
        <v>1.9075153180754374E-2</v>
      </c>
      <c r="C167" s="320">
        <f>[1]Population!O157</f>
        <v>1.2750561430013057E-2</v>
      </c>
      <c r="D167" s="5">
        <v>1004911</v>
      </c>
      <c r="E167" s="5">
        <v>606029</v>
      </c>
      <c r="F167" s="1">
        <f t="shared" si="144"/>
        <v>-0.39693266368862518</v>
      </c>
      <c r="G167" s="5">
        <v>605158</v>
      </c>
      <c r="H167" s="1">
        <f t="shared" si="145"/>
        <v>-1.4372249512812094E-3</v>
      </c>
      <c r="I167" s="236">
        <v>648760</v>
      </c>
      <c r="J167" s="1">
        <f t="shared" si="146"/>
        <v>7.2050604965975831E-2</v>
      </c>
      <c r="K167" s="5">
        <v>812010</v>
      </c>
      <c r="L167" s="1">
        <f t="shared" si="147"/>
        <v>0.25163388618287191</v>
      </c>
      <c r="M167" s="5">
        <v>919528.66666666663</v>
      </c>
      <c r="N167" s="1">
        <f t="shared" si="147"/>
        <v>0.13241052039588999</v>
      </c>
      <c r="O167" s="5">
        <v>743208</v>
      </c>
      <c r="P167" s="1">
        <f t="shared" si="147"/>
        <v>-0.19175113627053858</v>
      </c>
      <c r="Q167" s="5">
        <v>721639.00000390003</v>
      </c>
      <c r="R167" s="1">
        <f t="shared" si="147"/>
        <v>-2.9021485231725128E-2</v>
      </c>
      <c r="S167" s="236">
        <v>774184</v>
      </c>
      <c r="T167" s="1">
        <f t="shared" si="147"/>
        <v>7.2813415011960272E-2</v>
      </c>
      <c r="U167" s="262">
        <v>861490</v>
      </c>
      <c r="V167" s="1">
        <f t="shared" si="148"/>
        <v>0.11277164085023715</v>
      </c>
      <c r="W167" s="262">
        <v>919115</v>
      </c>
      <c r="X167" s="1">
        <f t="shared" si="149"/>
        <v>6.6889923272469787E-2</v>
      </c>
      <c r="Y167" s="262">
        <v>894456</v>
      </c>
      <c r="Z167" s="1">
        <f t="shared" si="149"/>
        <v>-2.6829069267719489E-2</v>
      </c>
      <c r="AA167" s="262">
        <v>1415012</v>
      </c>
      <c r="AB167" s="1">
        <f t="shared" si="150"/>
        <v>0.5819805557791552</v>
      </c>
      <c r="AC167" s="262">
        <v>1633203</v>
      </c>
      <c r="AD167" s="1">
        <f t="shared" si="151"/>
        <v>0.15419727889233448</v>
      </c>
      <c r="AE167" s="262">
        <v>2069679</v>
      </c>
      <c r="AF167" s="1">
        <f t="shared" si="152"/>
        <v>0.26725152966287719</v>
      </c>
      <c r="AG167" s="262">
        <v>2100216</v>
      </c>
      <c r="AH167" s="1">
        <f t="shared" ref="AH167:AH178" si="153">SUM((AG167-AE167)/AE167)</f>
        <v>1.4754461923805575E-2</v>
      </c>
      <c r="AI167" s="262">
        <v>2325798</v>
      </c>
      <c r="AJ167" s="1">
        <f t="shared" ref="AJ167:AJ178" si="154">SUM((AI167-AG167)/AG167)</f>
        <v>0.10740895222205717</v>
      </c>
      <c r="AK167" s="262">
        <v>2439979</v>
      </c>
      <c r="AL167" s="1">
        <f t="shared" ref="AL167:AL172" si="155">SUM((AK167-AI167)/AI167)</f>
        <v>4.9093257454000734E-2</v>
      </c>
      <c r="AM167" s="262">
        <v>2045484</v>
      </c>
      <c r="AN167" s="1">
        <f t="shared" ref="AN167:AN172" si="156">SUM((AM167-AK167)/AK167)</f>
        <v>-0.16167967019388282</v>
      </c>
      <c r="AO167" s="262">
        <v>2220984</v>
      </c>
      <c r="AP167" s="1">
        <f t="shared" si="99"/>
        <v>8.5798764497791238E-2</v>
      </c>
    </row>
    <row r="168" spans="1:42" x14ac:dyDescent="0.2">
      <c r="A168" s="3" t="s">
        <v>200</v>
      </c>
      <c r="B168" s="320">
        <f t="shared" si="143"/>
        <v>-9.2347771618425792E-2</v>
      </c>
      <c r="C168" s="320">
        <f>[1]Population!O158</f>
        <v>4.747125868924866E-2</v>
      </c>
      <c r="D168" s="5">
        <v>289897974</v>
      </c>
      <c r="E168" s="5">
        <v>326002629</v>
      </c>
      <c r="F168" s="1">
        <f t="shared" si="144"/>
        <v>0.12454262615853949</v>
      </c>
      <c r="G168" s="5">
        <v>369622304</v>
      </c>
      <c r="H168" s="1">
        <f t="shared" si="145"/>
        <v>0.13380160501711783</v>
      </c>
      <c r="I168" s="236">
        <v>423719373</v>
      </c>
      <c r="J168" s="1">
        <f t="shared" si="146"/>
        <v>0.14635769653121367</v>
      </c>
      <c r="K168" s="5">
        <v>477954458</v>
      </c>
      <c r="L168" s="1">
        <f t="shared" si="147"/>
        <v>0.12799765235185506</v>
      </c>
      <c r="M168" s="5">
        <v>534916372</v>
      </c>
      <c r="N168" s="1">
        <f t="shared" si="147"/>
        <v>0.11917853897284916</v>
      </c>
      <c r="O168" s="5">
        <v>575250890</v>
      </c>
      <c r="P168" s="1">
        <f t="shared" si="147"/>
        <v>7.5403409039796601E-2</v>
      </c>
      <c r="Q168" s="5">
        <v>604876440.00000381</v>
      </c>
      <c r="R168" s="1">
        <f t="shared" si="147"/>
        <v>5.1500224536816998E-2</v>
      </c>
      <c r="S168" s="236">
        <v>649702844</v>
      </c>
      <c r="T168" s="1">
        <f t="shared" si="147"/>
        <v>7.4108365007564028E-2</v>
      </c>
      <c r="U168" s="262">
        <v>737078635</v>
      </c>
      <c r="V168" s="1">
        <f t="shared" si="148"/>
        <v>0.13448577577721055</v>
      </c>
      <c r="W168" s="262">
        <v>973263679</v>
      </c>
      <c r="X168" s="1">
        <f t="shared" si="149"/>
        <v>0.32043398463177541</v>
      </c>
      <c r="Y168" s="262">
        <v>1356208471</v>
      </c>
      <c r="Z168" s="1">
        <f t="shared" si="149"/>
        <v>0.39346458751390434</v>
      </c>
      <c r="AA168" s="262">
        <v>1549148426</v>
      </c>
      <c r="AB168" s="1">
        <f t="shared" si="150"/>
        <v>0.14226423085068607</v>
      </c>
      <c r="AC168" s="262">
        <v>1667106471</v>
      </c>
      <c r="AD168" s="1">
        <f t="shared" si="151"/>
        <v>7.6143798115313716E-2</v>
      </c>
      <c r="AE168" s="262">
        <v>1288454586</v>
      </c>
      <c r="AF168" s="1">
        <f t="shared" si="152"/>
        <v>-0.22713119502971446</v>
      </c>
      <c r="AG168" s="262">
        <v>788264836</v>
      </c>
      <c r="AH168" s="1">
        <f t="shared" si="153"/>
        <v>-0.38820906490219126</v>
      </c>
      <c r="AI168" s="262">
        <v>687967007</v>
      </c>
      <c r="AJ168" s="1">
        <f t="shared" si="154"/>
        <v>-0.12723874568470539</v>
      </c>
      <c r="AK168" s="262">
        <v>694927503</v>
      </c>
      <c r="AL168" s="1">
        <f t="shared" si="155"/>
        <v>1.0117485183413745E-2</v>
      </c>
      <c r="AM168" s="262">
        <v>668555663</v>
      </c>
      <c r="AN168" s="1">
        <f t="shared" si="156"/>
        <v>-3.7949052075436418E-2</v>
      </c>
      <c r="AO168" s="262">
        <v>723070039</v>
      </c>
      <c r="AP168" s="1">
        <f t="shared" si="99"/>
        <v>8.1540519386790383E-2</v>
      </c>
    </row>
    <row r="169" spans="1:42" x14ac:dyDescent="0.2">
      <c r="A169" s="3" t="s">
        <v>201</v>
      </c>
      <c r="B169" s="320">
        <f t="shared" si="143"/>
        <v>4.9308780612827521E-2</v>
      </c>
      <c r="C169" s="320">
        <f>[1]Population!O159</f>
        <v>1.8261426955219349E-2</v>
      </c>
      <c r="D169" s="5">
        <v>48115462</v>
      </c>
      <c r="E169" s="5">
        <v>57100416</v>
      </c>
      <c r="F169" s="1">
        <f t="shared" si="144"/>
        <v>0.18673735274536074</v>
      </c>
      <c r="G169" s="5">
        <v>50174508</v>
      </c>
      <c r="H169" s="1">
        <f t="shared" si="145"/>
        <v>-0.12129347709130525</v>
      </c>
      <c r="I169" s="236">
        <v>63069376</v>
      </c>
      <c r="J169" s="1">
        <f t="shared" si="146"/>
        <v>0.25700038752746712</v>
      </c>
      <c r="K169" s="5">
        <v>73118233</v>
      </c>
      <c r="L169" s="1">
        <f t="shared" si="147"/>
        <v>0.15933021122644372</v>
      </c>
      <c r="M169" s="5">
        <v>64379569</v>
      </c>
      <c r="N169" s="1">
        <f t="shared" si="147"/>
        <v>-0.11951415729644342</v>
      </c>
      <c r="O169" s="5">
        <v>69228580</v>
      </c>
      <c r="P169" s="1">
        <f t="shared" si="147"/>
        <v>7.5319096963820928E-2</v>
      </c>
      <c r="Q169" s="5">
        <v>68301143.333337128</v>
      </c>
      <c r="R169" s="1">
        <f t="shared" si="147"/>
        <v>-1.3396731041758647E-2</v>
      </c>
      <c r="S169" s="236">
        <v>64343583</v>
      </c>
      <c r="T169" s="1">
        <f t="shared" si="147"/>
        <v>-5.794281237757086E-2</v>
      </c>
      <c r="U169" s="262">
        <v>67786626</v>
      </c>
      <c r="V169" s="1">
        <f t="shared" si="148"/>
        <v>5.3510277784810337E-2</v>
      </c>
      <c r="W169" s="262">
        <v>68971099</v>
      </c>
      <c r="X169" s="1">
        <f t="shared" si="149"/>
        <v>1.7473550018553809E-2</v>
      </c>
      <c r="Y169" s="262">
        <v>65382631</v>
      </c>
      <c r="Z169" s="1">
        <f t="shared" si="149"/>
        <v>-5.2028575041264749E-2</v>
      </c>
      <c r="AA169" s="262">
        <v>75837928</v>
      </c>
      <c r="AB169" s="1">
        <f t="shared" si="150"/>
        <v>0.15990939550903052</v>
      </c>
      <c r="AC169" s="262">
        <v>67890693</v>
      </c>
      <c r="AD169" s="1">
        <f t="shared" si="151"/>
        <v>-0.10479235403161331</v>
      </c>
      <c r="AE169" s="262">
        <v>85667437</v>
      </c>
      <c r="AF169" s="1">
        <f t="shared" si="152"/>
        <v>0.2618436079301768</v>
      </c>
      <c r="AG169" s="262">
        <v>79532762</v>
      </c>
      <c r="AH169" s="1">
        <f t="shared" si="153"/>
        <v>-7.1610348282043268E-2</v>
      </c>
      <c r="AI169" s="262">
        <v>97615019</v>
      </c>
      <c r="AJ169" s="1">
        <f t="shared" si="154"/>
        <v>0.22735608000134586</v>
      </c>
      <c r="AK169" s="262">
        <v>109456839</v>
      </c>
      <c r="AL169" s="1">
        <f t="shared" si="155"/>
        <v>0.1213114551563013</v>
      </c>
      <c r="AM169" s="262">
        <v>108582786</v>
      </c>
      <c r="AN169" s="1">
        <f t="shared" si="156"/>
        <v>-7.9853667252349578E-3</v>
      </c>
      <c r="AO169" s="262">
        <v>106136642</v>
      </c>
      <c r="AP169" s="1">
        <f t="shared" si="99"/>
        <v>-2.2527917086231329E-2</v>
      </c>
    </row>
    <row r="170" spans="1:42" x14ac:dyDescent="0.2">
      <c r="A170" s="3" t="s">
        <v>202</v>
      </c>
      <c r="B170" s="320">
        <f t="shared" si="143"/>
        <v>4.7832139064648657E-2</v>
      </c>
      <c r="C170" s="320">
        <f>[1]Population!O160</f>
        <v>2.0680221975261287E-2</v>
      </c>
      <c r="D170" s="5">
        <v>27331795</v>
      </c>
      <c r="E170" s="5">
        <v>26561892</v>
      </c>
      <c r="F170" s="1">
        <f t="shared" si="144"/>
        <v>-2.8168768278848864E-2</v>
      </c>
      <c r="G170" s="5">
        <v>27454989</v>
      </c>
      <c r="H170" s="1">
        <f t="shared" si="145"/>
        <v>3.3623244910415268E-2</v>
      </c>
      <c r="I170" s="236">
        <v>27505044</v>
      </c>
      <c r="J170" s="1">
        <f t="shared" si="146"/>
        <v>1.8231659098461122E-3</v>
      </c>
      <c r="K170" s="5">
        <v>28303375</v>
      </c>
      <c r="L170" s="1">
        <f t="shared" si="147"/>
        <v>2.9024894488443646E-2</v>
      </c>
      <c r="M170" s="5">
        <v>27474237</v>
      </c>
      <c r="N170" s="1">
        <f t="shared" si="147"/>
        <v>-2.929466892199252E-2</v>
      </c>
      <c r="O170" s="5">
        <v>25853571</v>
      </c>
      <c r="P170" s="1">
        <f t="shared" si="147"/>
        <v>-5.8988571729944678E-2</v>
      </c>
      <c r="Q170" s="5">
        <v>25333599.0000039</v>
      </c>
      <c r="R170" s="1">
        <f t="shared" si="147"/>
        <v>-2.0112192624999449E-2</v>
      </c>
      <c r="S170" s="236">
        <v>25145039</v>
      </c>
      <c r="T170" s="1">
        <f t="shared" si="147"/>
        <v>-7.4430798404865944E-3</v>
      </c>
      <c r="U170" s="262">
        <v>25514071</v>
      </c>
      <c r="V170" s="1">
        <f t="shared" si="148"/>
        <v>1.4676135519217131E-2</v>
      </c>
      <c r="W170" s="262">
        <v>28293326</v>
      </c>
      <c r="X170" s="1">
        <f t="shared" si="149"/>
        <v>0.10893028399897453</v>
      </c>
      <c r="Y170" s="262">
        <v>26754005</v>
      </c>
      <c r="Z170" s="1">
        <f t="shared" si="149"/>
        <v>-5.4405798738543502E-2</v>
      </c>
      <c r="AA170" s="262">
        <v>30141994</v>
      </c>
      <c r="AB170" s="1">
        <f t="shared" si="150"/>
        <v>0.12663483467241635</v>
      </c>
      <c r="AC170" s="262">
        <v>31469076</v>
      </c>
      <c r="AD170" s="1">
        <f t="shared" si="151"/>
        <v>4.402767779729503E-2</v>
      </c>
      <c r="AE170" s="262">
        <v>31623274</v>
      </c>
      <c r="AF170" s="1">
        <f t="shared" si="152"/>
        <v>4.899984988437538E-3</v>
      </c>
      <c r="AG170" s="262">
        <v>30555147</v>
      </c>
      <c r="AH170" s="1">
        <f t="shared" si="153"/>
        <v>-3.3776610227011915E-2</v>
      </c>
      <c r="AI170" s="262">
        <v>29328566</v>
      </c>
      <c r="AJ170" s="1">
        <f t="shared" si="154"/>
        <v>-4.0143187660003729E-2</v>
      </c>
      <c r="AK170" s="262">
        <v>50109734</v>
      </c>
      <c r="AL170" s="1">
        <f t="shared" si="155"/>
        <v>0.70856406685550188</v>
      </c>
      <c r="AM170" s="262">
        <v>33294467</v>
      </c>
      <c r="AN170" s="1">
        <f t="shared" si="156"/>
        <v>-0.33556887370425875</v>
      </c>
      <c r="AO170" s="262">
        <v>31299639</v>
      </c>
      <c r="AP170" s="1">
        <f t="shared" si="99"/>
        <v>-5.9914699940984188E-2</v>
      </c>
    </row>
    <row r="171" spans="1:42" x14ac:dyDescent="0.2">
      <c r="A171" s="3" t="s">
        <v>348</v>
      </c>
      <c r="B171" s="320">
        <f t="shared" si="143"/>
        <v>-5.5214140099600836E-2</v>
      </c>
      <c r="C171" s="320"/>
      <c r="D171" s="5">
        <v>21203566</v>
      </c>
      <c r="E171" s="5">
        <v>25204891</v>
      </c>
      <c r="F171" s="1">
        <f t="shared" si="144"/>
        <v>0.18871000283631537</v>
      </c>
      <c r="G171" s="5">
        <v>24875921</v>
      </c>
      <c r="H171" s="1">
        <f t="shared" si="145"/>
        <v>-1.3051831884533838E-2</v>
      </c>
      <c r="I171" s="236">
        <v>20539145</v>
      </c>
      <c r="J171" s="1">
        <f t="shared" si="146"/>
        <v>-0.17433629894547423</v>
      </c>
      <c r="K171" s="5">
        <v>17594257</v>
      </c>
      <c r="L171" s="1">
        <f t="shared" si="147"/>
        <v>-0.14337928867048749</v>
      </c>
      <c r="M171" s="5">
        <v>18353402</v>
      </c>
      <c r="N171" s="1">
        <f t="shared" si="147"/>
        <v>4.3147317900380788E-2</v>
      </c>
      <c r="O171" s="5">
        <v>18107529</v>
      </c>
      <c r="P171" s="1">
        <f t="shared" si="147"/>
        <v>-1.3396589907418799E-2</v>
      </c>
      <c r="Q171" s="5">
        <v>19436853.000004001</v>
      </c>
      <c r="R171" s="1">
        <f t="shared" si="147"/>
        <v>7.3412777635424517E-2</v>
      </c>
      <c r="S171" s="236">
        <v>26408403</v>
      </c>
      <c r="T171" s="1">
        <f t="shared" si="147"/>
        <v>0.35867689074947284</v>
      </c>
      <c r="U171" s="262">
        <v>28050248</v>
      </c>
      <c r="V171" s="1">
        <f t="shared" si="148"/>
        <v>6.2171309639587065E-2</v>
      </c>
      <c r="W171" s="262">
        <v>29468222</v>
      </c>
      <c r="X171" s="1">
        <f t="shared" si="149"/>
        <v>5.0551210812824189E-2</v>
      </c>
      <c r="Y171" s="262">
        <v>29205686</v>
      </c>
      <c r="Z171" s="1">
        <f t="shared" si="149"/>
        <v>-8.9091225117009093E-3</v>
      </c>
      <c r="AA171" s="262">
        <v>32881382</v>
      </c>
      <c r="AB171" s="1">
        <f t="shared" si="150"/>
        <v>0.12585549265988821</v>
      </c>
      <c r="AC171" s="262">
        <v>35239781</v>
      </c>
      <c r="AD171" s="1">
        <f t="shared" si="151"/>
        <v>7.172444880814316E-2</v>
      </c>
      <c r="AE171" s="262">
        <v>46746163</v>
      </c>
      <c r="AF171" s="1">
        <f t="shared" si="152"/>
        <v>0.3265168418611909</v>
      </c>
      <c r="AG171" s="262">
        <v>37787225</v>
      </c>
      <c r="AH171" s="1">
        <f t="shared" si="153"/>
        <v>-0.1916507671442467</v>
      </c>
      <c r="AI171" s="262">
        <v>38523341</v>
      </c>
      <c r="AJ171" s="1">
        <f t="shared" si="154"/>
        <v>1.948055195902848E-2</v>
      </c>
      <c r="AK171" s="262">
        <v>36967727</v>
      </c>
      <c r="AL171" s="1">
        <f t="shared" si="155"/>
        <v>-4.0381077020292713E-2</v>
      </c>
      <c r="AM171" s="262">
        <v>36489634</v>
      </c>
      <c r="AN171" s="1">
        <f t="shared" si="156"/>
        <v>-1.2932712903879645E-2</v>
      </c>
      <c r="AO171" s="262">
        <v>34643744</v>
      </c>
      <c r="AP171" s="1">
        <f t="shared" si="99"/>
        <v>-5.0586695388613656E-2</v>
      </c>
    </row>
    <row r="172" spans="1:42" x14ac:dyDescent="0.2">
      <c r="A172" s="3" t="s">
        <v>349</v>
      </c>
      <c r="B172" s="320">
        <f t="shared" si="143"/>
        <v>2.5729326683377206E-2</v>
      </c>
      <c r="C172" s="320"/>
      <c r="D172" s="5">
        <v>37900667</v>
      </c>
      <c r="E172" s="5">
        <v>38868191</v>
      </c>
      <c r="F172" s="1">
        <f t="shared" si="144"/>
        <v>2.5527888466976057E-2</v>
      </c>
      <c r="G172" s="5">
        <v>39235626</v>
      </c>
      <c r="H172" s="1">
        <f t="shared" si="145"/>
        <v>9.4533599466978015E-3</v>
      </c>
      <c r="I172" s="236">
        <v>37430424</v>
      </c>
      <c r="J172" s="1">
        <f t="shared" si="146"/>
        <v>-4.6009256995160466E-2</v>
      </c>
      <c r="K172" s="5">
        <v>29742189</v>
      </c>
      <c r="L172" s="1">
        <f t="shared" si="147"/>
        <v>-0.20540069222833277</v>
      </c>
      <c r="M172" s="5">
        <v>19520727.333333332</v>
      </c>
      <c r="N172" s="1">
        <f t="shared" si="147"/>
        <v>-0.34366877524269207</v>
      </c>
      <c r="O172" s="5">
        <v>16439680</v>
      </c>
      <c r="P172" s="1">
        <f t="shared" si="147"/>
        <v>-0.15783465855148629</v>
      </c>
      <c r="Q172" s="5">
        <v>16563429.0000038</v>
      </c>
      <c r="R172" s="1">
        <f t="shared" si="147"/>
        <v>7.5274579556171284E-3</v>
      </c>
      <c r="S172" s="236">
        <v>16452732</v>
      </c>
      <c r="T172" s="1">
        <f t="shared" si="147"/>
        <v>-6.6832175876006348E-3</v>
      </c>
      <c r="U172" s="262">
        <v>16631186</v>
      </c>
      <c r="V172" s="1">
        <f t="shared" si="148"/>
        <v>1.0846466106662407E-2</v>
      </c>
      <c r="W172" s="262">
        <v>18226678</v>
      </c>
      <c r="X172" s="1">
        <f t="shared" si="149"/>
        <v>9.5933747599239158E-2</v>
      </c>
      <c r="Y172" s="262">
        <v>16671823</v>
      </c>
      <c r="Z172" s="1">
        <f t="shared" si="149"/>
        <v>-8.5306549004706175E-2</v>
      </c>
      <c r="AA172" s="262">
        <v>18394776</v>
      </c>
      <c r="AB172" s="1">
        <f t="shared" si="150"/>
        <v>0.10334520705983982</v>
      </c>
      <c r="AC172" s="262">
        <v>18931480</v>
      </c>
      <c r="AD172" s="1">
        <f t="shared" si="151"/>
        <v>2.9176979377188394E-2</v>
      </c>
      <c r="AE172" s="262">
        <v>19570710</v>
      </c>
      <c r="AF172" s="1">
        <f t="shared" si="152"/>
        <v>3.3765453097169371E-2</v>
      </c>
      <c r="AG172" s="262">
        <v>20174444</v>
      </c>
      <c r="AH172" s="1">
        <f t="shared" si="153"/>
        <v>3.0848855253590698E-2</v>
      </c>
      <c r="AI172" s="262">
        <v>26904902</v>
      </c>
      <c r="AJ172" s="1">
        <f t="shared" si="154"/>
        <v>0.33361306016661474</v>
      </c>
      <c r="AK172" s="262">
        <v>24746460</v>
      </c>
      <c r="AL172" s="1">
        <f t="shared" si="155"/>
        <v>-8.0224860138869855E-2</v>
      </c>
      <c r="AM172" s="262">
        <v>24595548</v>
      </c>
      <c r="AN172" s="1">
        <f t="shared" si="156"/>
        <v>-6.0983267909834379E-3</v>
      </c>
      <c r="AO172" s="262">
        <v>20918708</v>
      </c>
      <c r="AP172" s="1">
        <f t="shared" si="99"/>
        <v>-0.14949209507346614</v>
      </c>
    </row>
    <row r="173" spans="1:42" x14ac:dyDescent="0.2">
      <c r="A173" s="3" t="s">
        <v>203</v>
      </c>
      <c r="B173" s="320">
        <f t="shared" si="143"/>
        <v>0</v>
      </c>
      <c r="C173" s="320"/>
      <c r="D173" s="5">
        <v>197910263</v>
      </c>
      <c r="E173" s="5">
        <v>166846187</v>
      </c>
      <c r="F173" s="1">
        <f t="shared" si="144"/>
        <v>-0.15696040988031024</v>
      </c>
      <c r="G173" s="5">
        <v>160213416</v>
      </c>
      <c r="H173" s="1">
        <f t="shared" si="145"/>
        <v>-3.9753806300649834E-2</v>
      </c>
      <c r="I173" s="236">
        <v>166749505</v>
      </c>
      <c r="J173" s="1">
        <f t="shared" si="146"/>
        <v>4.0796140318236522E-2</v>
      </c>
      <c r="K173" s="5">
        <v>176482028</v>
      </c>
      <c r="L173" s="1">
        <f t="shared" si="147"/>
        <v>5.8366128283259371E-2</v>
      </c>
      <c r="M173" s="5">
        <v>156497097</v>
      </c>
      <c r="N173" s="1">
        <f t="shared" si="147"/>
        <v>-0.11324060147359594</v>
      </c>
      <c r="O173" s="5">
        <v>170003387</v>
      </c>
      <c r="P173" s="1">
        <f t="shared" si="147"/>
        <v>8.6303773417598928E-2</v>
      </c>
      <c r="Q173" s="5">
        <v>157680259.00000751</v>
      </c>
      <c r="R173" s="1">
        <f t="shared" si="147"/>
        <v>-7.2487544027534517E-2</v>
      </c>
      <c r="S173" s="236">
        <v>197587409.66666666</v>
      </c>
      <c r="T173" s="1">
        <f t="shared" si="147"/>
        <v>0.25308907354507354</v>
      </c>
      <c r="U173" s="262">
        <v>209491870</v>
      </c>
      <c r="V173" s="1">
        <f t="shared" si="148"/>
        <v>6.0249083448264094E-2</v>
      </c>
      <c r="W173" s="262">
        <v>218876369</v>
      </c>
      <c r="X173" s="1">
        <f t="shared" si="149"/>
        <v>4.479648303296925E-2</v>
      </c>
      <c r="Y173" s="262">
        <v>229313829</v>
      </c>
      <c r="Z173" s="1">
        <f t="shared" si="149"/>
        <v>4.7686554961079423E-2</v>
      </c>
      <c r="AA173" s="262">
        <v>44775764</v>
      </c>
      <c r="AB173" s="1">
        <f t="shared" si="150"/>
        <v>-0.80474023657770766</v>
      </c>
      <c r="AC173" s="262">
        <v>56516017</v>
      </c>
      <c r="AD173" s="1">
        <f t="shared" si="151"/>
        <v>0.2622010648439187</v>
      </c>
      <c r="AE173" s="262">
        <v>0</v>
      </c>
      <c r="AF173" s="1">
        <v>0</v>
      </c>
      <c r="AG173" s="262">
        <v>0</v>
      </c>
      <c r="AH173" s="1">
        <v>0</v>
      </c>
      <c r="AI173" s="262">
        <v>0</v>
      </c>
      <c r="AJ173" s="1"/>
      <c r="AK173" s="262">
        <v>0</v>
      </c>
      <c r="AL173" s="1"/>
      <c r="AM173" s="262">
        <v>0</v>
      </c>
      <c r="AN173" s="1"/>
      <c r="AO173" s="262">
        <v>0</v>
      </c>
      <c r="AP173" s="1"/>
    </row>
    <row r="174" spans="1:42" x14ac:dyDescent="0.2">
      <c r="A174" s="3" t="s">
        <v>352</v>
      </c>
      <c r="B174" s="320">
        <f t="shared" si="143"/>
        <v>-0.27581449989721946</v>
      </c>
      <c r="C174" s="320"/>
      <c r="D174" s="5">
        <v>289897974</v>
      </c>
      <c r="E174" s="5">
        <v>326002629</v>
      </c>
      <c r="F174" s="1">
        <f t="shared" si="144"/>
        <v>0.12454262615853949</v>
      </c>
      <c r="G174" s="5">
        <v>369622304</v>
      </c>
      <c r="H174" s="1">
        <f t="shared" si="145"/>
        <v>0.13380160501711783</v>
      </c>
      <c r="I174" s="236">
        <v>423719373</v>
      </c>
      <c r="J174" s="1">
        <f t="shared" si="146"/>
        <v>0.14635769653121367</v>
      </c>
      <c r="K174" s="5">
        <v>477954458</v>
      </c>
      <c r="L174" s="1">
        <f t="shared" si="147"/>
        <v>0.12799765235185506</v>
      </c>
      <c r="M174" s="5">
        <v>534916372</v>
      </c>
      <c r="N174" s="1">
        <f t="shared" si="147"/>
        <v>0.11917853897284916</v>
      </c>
      <c r="O174" s="5">
        <v>575250890</v>
      </c>
      <c r="P174" s="1">
        <f t="shared" si="147"/>
        <v>7.5403409039796601E-2</v>
      </c>
      <c r="Q174" s="5">
        <v>604876440.00000381</v>
      </c>
      <c r="R174" s="1">
        <f t="shared" si="147"/>
        <v>5.1500224536816998E-2</v>
      </c>
      <c r="S174" s="236">
        <v>649702844</v>
      </c>
      <c r="T174" s="1">
        <f t="shared" si="147"/>
        <v>7.4108365007564028E-2</v>
      </c>
      <c r="U174" s="262">
        <v>737078635</v>
      </c>
      <c r="V174" s="1">
        <f t="shared" si="148"/>
        <v>0.13448577577721055</v>
      </c>
      <c r="W174" s="262">
        <v>973263679</v>
      </c>
      <c r="X174" s="1">
        <f t="shared" si="149"/>
        <v>0.32043398463177541</v>
      </c>
      <c r="Y174" s="262">
        <v>1356208471</v>
      </c>
      <c r="Z174" s="1">
        <f t="shared" si="149"/>
        <v>0.39346458751390434</v>
      </c>
      <c r="AA174" s="262">
        <v>1549148426</v>
      </c>
      <c r="AB174" s="1">
        <f t="shared" si="150"/>
        <v>0.14226423085068607</v>
      </c>
      <c r="AC174" s="262">
        <v>1667106471</v>
      </c>
      <c r="AD174" s="1">
        <f t="shared" si="151"/>
        <v>7.6143798115313716E-2</v>
      </c>
      <c r="AE174" s="262">
        <v>1269495771</v>
      </c>
      <c r="AF174" s="1">
        <f>SUM((AE174-AC174)/AC174)</f>
        <v>-0.2385034830807756</v>
      </c>
      <c r="AG174" s="262">
        <v>788264836</v>
      </c>
      <c r="AH174" s="1">
        <f t="shared" si="153"/>
        <v>-0.37907249948609717</v>
      </c>
      <c r="AI174" s="262">
        <v>0</v>
      </c>
      <c r="AJ174" s="1">
        <f t="shared" si="154"/>
        <v>-1</v>
      </c>
      <c r="AK174" s="262">
        <v>0</v>
      </c>
      <c r="AL174" s="1"/>
      <c r="AM174" s="262">
        <v>0</v>
      </c>
      <c r="AN174" s="1"/>
      <c r="AO174" s="262">
        <v>0</v>
      </c>
      <c r="AP174" s="1"/>
    </row>
    <row r="175" spans="1:42" x14ac:dyDescent="0.2">
      <c r="A175" s="3" t="s">
        <v>204</v>
      </c>
      <c r="B175" s="320">
        <f t="shared" si="143"/>
        <v>-9.6402575354341491E-2</v>
      </c>
      <c r="C175" s="320"/>
      <c r="D175" s="5">
        <v>289897974</v>
      </c>
      <c r="E175" s="5">
        <v>326002629</v>
      </c>
      <c r="F175" s="1">
        <f t="shared" si="144"/>
        <v>0.12454262615853949</v>
      </c>
      <c r="G175" s="5">
        <v>369622304</v>
      </c>
      <c r="H175" s="1">
        <f t="shared" si="145"/>
        <v>0.13380160501711783</v>
      </c>
      <c r="I175" s="236">
        <v>423719373</v>
      </c>
      <c r="J175" s="1">
        <f t="shared" si="146"/>
        <v>0.14635769653121367</v>
      </c>
      <c r="K175" s="5">
        <v>477954458</v>
      </c>
      <c r="L175" s="1">
        <f t="shared" si="147"/>
        <v>0.12799765235185506</v>
      </c>
      <c r="M175" s="5">
        <v>534916372</v>
      </c>
      <c r="N175" s="1">
        <f t="shared" si="147"/>
        <v>0.11917853897284916</v>
      </c>
      <c r="O175" s="5">
        <v>575250890</v>
      </c>
      <c r="P175" s="1">
        <f t="shared" si="147"/>
        <v>7.5403409039796601E-2</v>
      </c>
      <c r="Q175" s="5">
        <v>604876440.00000381</v>
      </c>
      <c r="R175" s="1">
        <f t="shared" si="147"/>
        <v>5.1500224536816998E-2</v>
      </c>
      <c r="S175" s="236">
        <v>649702844</v>
      </c>
      <c r="T175" s="1">
        <f t="shared" si="147"/>
        <v>7.4108365007564028E-2</v>
      </c>
      <c r="U175" s="262">
        <v>737078635</v>
      </c>
      <c r="V175" s="1">
        <f t="shared" si="148"/>
        <v>0.13448577577721055</v>
      </c>
      <c r="W175" s="262">
        <v>973263679</v>
      </c>
      <c r="X175" s="1">
        <f t="shared" si="149"/>
        <v>0.32043398463177541</v>
      </c>
      <c r="Y175" s="262">
        <v>1356208471</v>
      </c>
      <c r="Z175" s="1">
        <f t="shared" si="149"/>
        <v>0.39346458751390434</v>
      </c>
      <c r="AA175" s="262">
        <v>1549148426</v>
      </c>
      <c r="AB175" s="1">
        <f t="shared" si="150"/>
        <v>0.14226423085068607</v>
      </c>
      <c r="AC175" s="262">
        <v>1667106471</v>
      </c>
      <c r="AD175" s="1">
        <f t="shared" si="151"/>
        <v>7.6143798115313716E-2</v>
      </c>
      <c r="AE175" s="262">
        <v>1288454586</v>
      </c>
      <c r="AF175" s="1">
        <f>SUM((AE175-AC175)/AC175)</f>
        <v>-0.22713119502971446</v>
      </c>
      <c r="AG175" s="262">
        <v>788264836</v>
      </c>
      <c r="AH175" s="1">
        <f t="shared" si="153"/>
        <v>-0.38820906490219126</v>
      </c>
      <c r="AI175" s="262">
        <v>687967007</v>
      </c>
      <c r="AJ175" s="1">
        <f t="shared" si="154"/>
        <v>-0.12723874568470539</v>
      </c>
      <c r="AK175" s="262">
        <v>694927503</v>
      </c>
      <c r="AL175" s="1">
        <f>SUM((AK175-AI175)/AI175)</f>
        <v>1.0117485183413745E-2</v>
      </c>
      <c r="AM175" s="262">
        <v>668555663</v>
      </c>
      <c r="AN175" s="1">
        <f>SUM((AM175-AK175)/AK175)</f>
        <v>-3.7949052075436418E-2</v>
      </c>
      <c r="AO175" s="262">
        <v>709515729</v>
      </c>
      <c r="AP175" s="1">
        <f t="shared" si="99"/>
        <v>6.1266500707211867E-2</v>
      </c>
    </row>
    <row r="176" spans="1:42" x14ac:dyDescent="0.2">
      <c r="A176" s="3" t="s">
        <v>205</v>
      </c>
      <c r="B176" s="320">
        <f t="shared" si="143"/>
        <v>-9.6402575354341491E-2</v>
      </c>
      <c r="C176" s="320"/>
      <c r="D176" s="5">
        <v>289897974</v>
      </c>
      <c r="E176" s="5">
        <v>326002629</v>
      </c>
      <c r="F176" s="1">
        <f t="shared" si="144"/>
        <v>0.12454262615853949</v>
      </c>
      <c r="G176" s="5">
        <v>369622304</v>
      </c>
      <c r="H176" s="1">
        <f t="shared" si="145"/>
        <v>0.13380160501711783</v>
      </c>
      <c r="I176" s="236">
        <v>423719373</v>
      </c>
      <c r="J176" s="1">
        <f t="shared" si="146"/>
        <v>0.14635769653121367</v>
      </c>
      <c r="K176" s="5">
        <v>477954458</v>
      </c>
      <c r="L176" s="1">
        <f t="shared" si="147"/>
        <v>0.12799765235185506</v>
      </c>
      <c r="M176" s="5">
        <v>534916372</v>
      </c>
      <c r="N176" s="1">
        <f t="shared" si="147"/>
        <v>0.11917853897284916</v>
      </c>
      <c r="O176" s="5">
        <v>575250890</v>
      </c>
      <c r="P176" s="1">
        <f t="shared" si="147"/>
        <v>7.5403409039796601E-2</v>
      </c>
      <c r="Q176" s="5">
        <v>604876440.00000381</v>
      </c>
      <c r="R176" s="1">
        <f t="shared" si="147"/>
        <v>5.1500224536816998E-2</v>
      </c>
      <c r="S176" s="236">
        <v>649702844</v>
      </c>
      <c r="T176" s="1">
        <f t="shared" si="147"/>
        <v>7.4108365007564028E-2</v>
      </c>
      <c r="U176" s="262">
        <v>737078635</v>
      </c>
      <c r="V176" s="1">
        <f t="shared" si="148"/>
        <v>0.13448577577721055</v>
      </c>
      <c r="W176" s="262">
        <v>973263679</v>
      </c>
      <c r="X176" s="1">
        <f t="shared" si="149"/>
        <v>0.32043398463177541</v>
      </c>
      <c r="Y176" s="262">
        <v>1356208471</v>
      </c>
      <c r="Z176" s="1">
        <f t="shared" si="149"/>
        <v>0.39346458751390434</v>
      </c>
      <c r="AA176" s="262">
        <v>1549148426</v>
      </c>
      <c r="AB176" s="1">
        <f t="shared" si="150"/>
        <v>0.14226423085068607</v>
      </c>
      <c r="AC176" s="262">
        <v>1667106471</v>
      </c>
      <c r="AD176" s="1">
        <f t="shared" si="151"/>
        <v>7.6143798115313716E-2</v>
      </c>
      <c r="AE176" s="262">
        <v>1288454586</v>
      </c>
      <c r="AF176" s="1">
        <f>SUM((AE176-AC176)/AC176)</f>
        <v>-0.22713119502971446</v>
      </c>
      <c r="AG176" s="262">
        <v>788264836</v>
      </c>
      <c r="AH176" s="1">
        <f t="shared" si="153"/>
        <v>-0.38820906490219126</v>
      </c>
      <c r="AI176" s="262">
        <v>687967007</v>
      </c>
      <c r="AJ176" s="1">
        <f t="shared" si="154"/>
        <v>-0.12723874568470539</v>
      </c>
      <c r="AK176" s="262">
        <v>694927503</v>
      </c>
      <c r="AL176" s="1">
        <f>SUM((AK176-AI176)/AI176)</f>
        <v>1.0117485183413745E-2</v>
      </c>
      <c r="AM176" s="262">
        <v>668555663</v>
      </c>
      <c r="AN176" s="1">
        <f>SUM((AM176-AK176)/AK176)</f>
        <v>-3.7949052075436418E-2</v>
      </c>
      <c r="AO176" s="262">
        <v>709515729</v>
      </c>
      <c r="AP176" s="1">
        <f t="shared" si="99"/>
        <v>6.1266500707211867E-2</v>
      </c>
    </row>
    <row r="177" spans="1:42" x14ac:dyDescent="0.2">
      <c r="A177" s="6" t="s">
        <v>206</v>
      </c>
      <c r="B177" s="320">
        <f t="shared" si="143"/>
        <v>4.9939777419074391E-2</v>
      </c>
      <c r="C177" s="320"/>
      <c r="D177" s="5">
        <v>54955621</v>
      </c>
      <c r="E177" s="5">
        <v>63997937</v>
      </c>
      <c r="F177" s="1">
        <f t="shared" si="144"/>
        <v>0.1645385100825264</v>
      </c>
      <c r="G177" s="5">
        <v>56734194</v>
      </c>
      <c r="H177" s="1">
        <f t="shared" si="145"/>
        <v>-0.1134996429650537</v>
      </c>
      <c r="I177" s="236">
        <v>69696982</v>
      </c>
      <c r="J177" s="1">
        <f t="shared" si="146"/>
        <v>0.22848280879781249</v>
      </c>
      <c r="K177" s="5">
        <v>79140565</v>
      </c>
      <c r="L177" s="1">
        <f t="shared" si="147"/>
        <v>0.13549486260395033</v>
      </c>
      <c r="M177" s="5">
        <v>71558915</v>
      </c>
      <c r="N177" s="1">
        <f t="shared" si="147"/>
        <v>-9.5799796223340075E-2</v>
      </c>
      <c r="O177" s="5">
        <v>76700199</v>
      </c>
      <c r="P177" s="1">
        <f t="shared" si="147"/>
        <v>7.1846869114770673E-2</v>
      </c>
      <c r="Q177" s="5">
        <v>76120268.000007704</v>
      </c>
      <c r="R177" s="1">
        <f t="shared" si="147"/>
        <v>-7.561010369637973E-3</v>
      </c>
      <c r="S177" s="236">
        <v>72692982</v>
      </c>
      <c r="T177" s="1">
        <f t="shared" si="147"/>
        <v>-4.5024618147788929E-2</v>
      </c>
      <c r="U177" s="262">
        <v>76104006</v>
      </c>
      <c r="V177" s="1">
        <f t="shared" si="148"/>
        <v>4.6923704409319734E-2</v>
      </c>
      <c r="W177" s="262">
        <v>77388754</v>
      </c>
      <c r="X177" s="1">
        <f t="shared" si="149"/>
        <v>1.6881476646577579E-2</v>
      </c>
      <c r="Y177" s="262">
        <v>73837360</v>
      </c>
      <c r="Z177" s="1">
        <f t="shared" si="149"/>
        <v>-4.5890311142624159E-2</v>
      </c>
      <c r="AA177" s="262">
        <v>89511461</v>
      </c>
      <c r="AB177" s="1">
        <f t="shared" si="150"/>
        <v>0.21227872990041899</v>
      </c>
      <c r="AC177" s="262">
        <v>83007693</v>
      </c>
      <c r="AD177" s="1">
        <f t="shared" si="151"/>
        <v>-7.2658494536247148E-2</v>
      </c>
      <c r="AE177" s="262">
        <v>101129489</v>
      </c>
      <c r="AF177" s="1">
        <f>SUM((AE177-AC177)/AC177)</f>
        <v>0.2183146566909166</v>
      </c>
      <c r="AG177" s="262">
        <v>95642613</v>
      </c>
      <c r="AH177" s="1">
        <f t="shared" si="153"/>
        <v>-5.4255945068604074E-2</v>
      </c>
      <c r="AI177" s="262">
        <v>114207756</v>
      </c>
      <c r="AJ177" s="1">
        <f t="shared" si="154"/>
        <v>0.19410953358206556</v>
      </c>
      <c r="AK177" s="262">
        <v>124344537</v>
      </c>
      <c r="AL177" s="1">
        <f>SUM((AK177-AI177)/AI177)</f>
        <v>8.8757378264222267E-2</v>
      </c>
      <c r="AM177" s="262">
        <v>129870513</v>
      </c>
      <c r="AN177" s="1">
        <f>SUM((AM177-AK177)/AK177)</f>
        <v>4.4440842624232056E-2</v>
      </c>
      <c r="AO177" s="262">
        <v>126837657</v>
      </c>
      <c r="AP177" s="1">
        <f t="shared" si="99"/>
        <v>-2.3352922306543903E-2</v>
      </c>
    </row>
    <row r="178" spans="1:42" x14ac:dyDescent="0.2">
      <c r="A178" s="2" t="s">
        <v>350</v>
      </c>
      <c r="B178" s="320">
        <f t="shared" si="143"/>
        <v>0.54962567038457288</v>
      </c>
      <c r="C178" s="320"/>
      <c r="D178" s="5">
        <v>30620058</v>
      </c>
      <c r="E178" s="5">
        <v>29467546</v>
      </c>
      <c r="F178" s="1">
        <f t="shared" si="144"/>
        <v>-3.7639118776326287E-2</v>
      </c>
      <c r="G178" s="5">
        <v>30258265</v>
      </c>
      <c r="H178" s="1">
        <f t="shared" si="145"/>
        <v>2.6833554446644453E-2</v>
      </c>
      <c r="I178" s="236">
        <v>30696111</v>
      </c>
      <c r="J178" s="1">
        <f t="shared" si="146"/>
        <v>1.4470294314627756E-2</v>
      </c>
      <c r="K178" s="5">
        <v>36976751</v>
      </c>
      <c r="L178" s="1">
        <f t="shared" si="147"/>
        <v>0.20460702660346777</v>
      </c>
      <c r="M178" s="5">
        <v>35164982.666666672</v>
      </c>
      <c r="N178" s="1">
        <f t="shared" si="147"/>
        <v>-4.8997499356645165E-2</v>
      </c>
      <c r="O178" s="5">
        <v>35506848.666666664</v>
      </c>
      <c r="P178" s="1">
        <f t="shared" si="147"/>
        <v>9.721773596210289E-3</v>
      </c>
      <c r="Q178" s="5">
        <v>35993617.000003897</v>
      </c>
      <c r="R178" s="1">
        <f t="shared" si="147"/>
        <v>1.3709139267946462E-2</v>
      </c>
      <c r="S178" s="236">
        <v>36835437</v>
      </c>
      <c r="T178" s="1">
        <f t="shared" si="147"/>
        <v>2.3388035717444352E-2</v>
      </c>
      <c r="U178" s="262">
        <v>32651424</v>
      </c>
      <c r="V178" s="1">
        <f t="shared" si="148"/>
        <v>-0.11358662583533351</v>
      </c>
      <c r="W178" s="262">
        <v>32064369</v>
      </c>
      <c r="X178" s="1">
        <f t="shared" si="149"/>
        <v>-1.797946086516778E-2</v>
      </c>
      <c r="Y178" s="262">
        <v>35147974</v>
      </c>
      <c r="Z178" s="1">
        <f t="shared" si="149"/>
        <v>9.6169208881047991E-2</v>
      </c>
      <c r="AA178" s="262">
        <v>39267553</v>
      </c>
      <c r="AB178" s="1">
        <f t="shared" si="150"/>
        <v>0.11720672719286751</v>
      </c>
      <c r="AC178" s="262">
        <v>41986190</v>
      </c>
      <c r="AD178" s="1">
        <f t="shared" si="151"/>
        <v>6.9233674937676917E-2</v>
      </c>
      <c r="AE178" s="262">
        <v>42112680</v>
      </c>
      <c r="AF178" s="1">
        <f>SUM((AE178-AC178)/AC178)</f>
        <v>3.0126572570647633E-3</v>
      </c>
      <c r="AG178" s="262">
        <v>40821485</v>
      </c>
      <c r="AH178" s="1">
        <f t="shared" si="153"/>
        <v>-3.0660480406376416E-2</v>
      </c>
      <c r="AI178" s="262">
        <v>40026513</v>
      </c>
      <c r="AJ178" s="1">
        <f t="shared" si="154"/>
        <v>-1.9474352782609453E-2</v>
      </c>
      <c r="AK178" s="262">
        <v>63675373</v>
      </c>
      <c r="AL178" s="1">
        <f>SUM((AK178-AI178)/AI178)</f>
        <v>0.59082988318267948</v>
      </c>
      <c r="AM178" s="262">
        <v>182239330</v>
      </c>
      <c r="AN178" s="1">
        <f>SUM((AM178-AK178)/AK178)</f>
        <v>1.8620064777633889</v>
      </c>
      <c r="AO178" s="262">
        <v>245189683</v>
      </c>
      <c r="AP178" s="1">
        <f t="shared" ref="AP178:AP212" si="157">(AO178-AM178)/AM178</f>
        <v>0.34542682416578241</v>
      </c>
    </row>
    <row r="179" spans="1:42" x14ac:dyDescent="0.2">
      <c r="B179" s="320"/>
      <c r="C179" s="320"/>
      <c r="D179" s="5"/>
      <c r="F179" s="5"/>
      <c r="J179" s="1"/>
      <c r="L179" s="1"/>
      <c r="N179" s="1"/>
      <c r="P179" s="1"/>
      <c r="R179" s="1"/>
      <c r="T179" s="1"/>
      <c r="V179" s="1"/>
      <c r="X179" s="1"/>
      <c r="Z179" s="1"/>
      <c r="AB179" s="1"/>
      <c r="AD179" s="1"/>
      <c r="AF179" s="1"/>
      <c r="AH179" s="1"/>
      <c r="AJ179" s="1"/>
      <c r="AL179" s="1"/>
      <c r="AN179" s="1"/>
      <c r="AO179" s="262"/>
      <c r="AP179" s="1"/>
    </row>
    <row r="180" spans="1:42" x14ac:dyDescent="0.2">
      <c r="B180" s="320"/>
      <c r="C180" s="320"/>
      <c r="D180" s="5"/>
      <c r="F180" s="5"/>
      <c r="J180" s="1"/>
      <c r="L180" s="1"/>
      <c r="N180" s="1"/>
      <c r="P180" s="1"/>
      <c r="R180" s="1"/>
      <c r="T180" s="1"/>
      <c r="V180" s="1"/>
      <c r="X180" s="1"/>
      <c r="Z180" s="1"/>
      <c r="AB180" s="1"/>
      <c r="AD180" s="1"/>
      <c r="AF180" s="1"/>
      <c r="AH180" s="1"/>
      <c r="AJ180" s="1"/>
      <c r="AL180" s="1"/>
      <c r="AN180" s="1"/>
      <c r="AO180" s="262"/>
      <c r="AP180" s="1"/>
    </row>
    <row r="181" spans="1:42" x14ac:dyDescent="0.2">
      <c r="B181" s="320"/>
      <c r="C181" s="320"/>
      <c r="D181" s="5"/>
      <c r="F181" s="5"/>
      <c r="J181" s="1"/>
      <c r="L181" s="1"/>
      <c r="N181" s="1"/>
      <c r="P181" s="1"/>
      <c r="R181" s="1"/>
      <c r="T181" s="1"/>
      <c r="V181" s="1"/>
      <c r="X181" s="1"/>
      <c r="Z181" s="1"/>
      <c r="AB181" s="1"/>
      <c r="AD181" s="1"/>
      <c r="AF181" s="1"/>
      <c r="AH181" s="1"/>
      <c r="AJ181" s="1"/>
      <c r="AL181" s="1"/>
      <c r="AN181" s="1"/>
      <c r="AO181" s="262"/>
      <c r="AP181" s="1"/>
    </row>
    <row r="182" spans="1:42" x14ac:dyDescent="0.2">
      <c r="A182" s="3" t="s">
        <v>207</v>
      </c>
      <c r="B182" s="320">
        <f t="shared" ref="B182:B184" si="158">SUM((AL182+AN182+AP182+AJ182+AH182)/5)</f>
        <v>4.6796664076637857E-2</v>
      </c>
      <c r="C182" s="320">
        <f>[1]Population!O172</f>
        <v>1.5231276344854498E-2</v>
      </c>
      <c r="D182" s="5">
        <v>126151831</v>
      </c>
      <c r="E182" s="5">
        <v>149307692</v>
      </c>
      <c r="F182" s="1">
        <f>SUM((E182-D182)/D182)</f>
        <v>0.18355548878240222</v>
      </c>
      <c r="G182" s="5">
        <v>153830737</v>
      </c>
      <c r="H182" s="1">
        <f>SUM((G182-E182)/E182)</f>
        <v>3.0293449315390932E-2</v>
      </c>
      <c r="I182" s="236">
        <v>156016878</v>
      </c>
      <c r="J182" s="1">
        <f>SUM((I182-G182)/G182)</f>
        <v>1.4211340611336993E-2</v>
      </c>
      <c r="K182" s="5">
        <v>167925923</v>
      </c>
      <c r="L182" s="1">
        <f>SUM((K182-I182)/I182)</f>
        <v>7.6331773540552456E-2</v>
      </c>
      <c r="M182" s="5">
        <v>161212935</v>
      </c>
      <c r="N182" s="1">
        <f>SUM((M182-K182)/K182)</f>
        <v>-3.9975888654189502E-2</v>
      </c>
      <c r="O182" s="5">
        <v>160868981</v>
      </c>
      <c r="P182" s="1">
        <f>SUM((O182-M182)/M182)</f>
        <v>-2.133538478162438E-3</v>
      </c>
      <c r="Q182" s="5">
        <v>152387822.00000629</v>
      </c>
      <c r="R182" s="1">
        <f>SUM((Q182-O182)/O182)</f>
        <v>-5.2720909570464124E-2</v>
      </c>
      <c r="S182" s="236">
        <v>142099841</v>
      </c>
      <c r="T182" s="1">
        <f>SUM((S182-Q182)/Q182)</f>
        <v>-6.7511831752578397E-2</v>
      </c>
      <c r="U182" s="262">
        <v>144903290</v>
      </c>
      <c r="V182" s="1">
        <f>SUM((U182-S182)/S182)</f>
        <v>1.9728727212298569E-2</v>
      </c>
      <c r="W182" s="262">
        <v>160347749</v>
      </c>
      <c r="X182" s="1">
        <f>SUM((W182-U182)/U182)</f>
        <v>0.10658459859676064</v>
      </c>
      <c r="Y182" s="262">
        <v>161199951</v>
      </c>
      <c r="Z182" s="1">
        <f>SUM((Y182-W182)/W182)</f>
        <v>5.3147113402882877E-3</v>
      </c>
      <c r="AA182" s="262">
        <v>174057776</v>
      </c>
      <c r="AB182" s="1">
        <f>SUM((AA182-Y182)/Y182)</f>
        <v>7.9763206627773725E-2</v>
      </c>
      <c r="AC182" s="262">
        <v>189302037</v>
      </c>
      <c r="AD182" s="1">
        <f>SUM((AC182-AA182)/AA182)</f>
        <v>8.7581614279617137E-2</v>
      </c>
      <c r="AE182" s="262">
        <v>189026824</v>
      </c>
      <c r="AF182" s="1">
        <f>SUM((AE182-AC182)/AC182)</f>
        <v>-1.45383010326508E-3</v>
      </c>
      <c r="AG182" s="262">
        <v>194494268</v>
      </c>
      <c r="AH182" s="1">
        <f>SUM((AG182-AE182)/AE182)</f>
        <v>2.892417004266019E-2</v>
      </c>
      <c r="AI182" s="262">
        <v>202772267</v>
      </c>
      <c r="AJ182" s="1">
        <f>SUM((AI182-AG182)/AG182)</f>
        <v>4.256166048040038E-2</v>
      </c>
      <c r="AK182" s="262">
        <v>216495334</v>
      </c>
      <c r="AL182" s="1">
        <f>SUM((AK182-AI182)/AI182)</f>
        <v>6.7677238130399761E-2</v>
      </c>
      <c r="AM182" s="262">
        <v>247536706</v>
      </c>
      <c r="AN182" s="1">
        <f>SUM((AM182-AK182)/AK182)</f>
        <v>0.1433812518102584</v>
      </c>
      <c r="AO182" s="262">
        <v>235516076</v>
      </c>
      <c r="AP182" s="1">
        <f t="shared" si="157"/>
        <v>-4.8561000080529472E-2</v>
      </c>
    </row>
    <row r="183" spans="1:42" x14ac:dyDescent="0.2">
      <c r="A183" s="3" t="s">
        <v>208</v>
      </c>
      <c r="B183" s="320">
        <f t="shared" si="158"/>
        <v>3.6746788870970777E-2</v>
      </c>
      <c r="C183" s="320">
        <f>[1]Population!O173</f>
        <v>2.6449504366833818E-3</v>
      </c>
      <c r="D183" s="5">
        <v>14942827</v>
      </c>
      <c r="E183" s="5">
        <v>16115930</v>
      </c>
      <c r="F183" s="1">
        <f>SUM((E183-D183)/D183)</f>
        <v>7.8506095265641507E-2</v>
      </c>
      <c r="G183" s="5">
        <v>16379929</v>
      </c>
      <c r="H183" s="1">
        <f>SUM((G183-E183)/E183)</f>
        <v>1.6381245140677576E-2</v>
      </c>
      <c r="I183" s="236">
        <v>18402273</v>
      </c>
      <c r="J183" s="1">
        <f>SUM((I183-G183)/G183)</f>
        <v>0.12346475982893454</v>
      </c>
      <c r="K183" s="5">
        <v>19085887</v>
      </c>
      <c r="L183" s="1">
        <f>SUM((K183-I183)/I183)</f>
        <v>3.71483457505494E-2</v>
      </c>
      <c r="M183" s="5">
        <v>18428569.333333332</v>
      </c>
      <c r="N183" s="1">
        <f>SUM((M183-K183)/K183)</f>
        <v>-3.4439985244943967E-2</v>
      </c>
      <c r="O183" s="5">
        <v>18566524</v>
      </c>
      <c r="P183" s="1">
        <f>SUM((O183-M183)/M183)</f>
        <v>7.4859129958144656E-3</v>
      </c>
      <c r="Q183" s="5">
        <v>17290031.666669369</v>
      </c>
      <c r="R183" s="1">
        <f>SUM((Q183-O183)/O183)</f>
        <v>-6.8752359533245488E-2</v>
      </c>
      <c r="S183" s="236">
        <v>17373464</v>
      </c>
      <c r="T183" s="1">
        <f>SUM((S183-Q183)/Q183)</f>
        <v>4.8254586769477604E-3</v>
      </c>
      <c r="U183" s="262">
        <v>17170928</v>
      </c>
      <c r="V183" s="1">
        <f>SUM((U183-S183)/S183)</f>
        <v>-1.1657778782630798E-2</v>
      </c>
      <c r="W183" s="262">
        <v>21189049</v>
      </c>
      <c r="X183" s="1">
        <f>SUM((W183-U183)/U183)</f>
        <v>0.2340072126561826</v>
      </c>
      <c r="Y183" s="262">
        <v>18864410</v>
      </c>
      <c r="Z183" s="1">
        <f>SUM((Y183-W183)/W183)</f>
        <v>-0.10970945416191165</v>
      </c>
      <c r="AA183" s="262">
        <v>21020848</v>
      </c>
      <c r="AB183" s="1">
        <f>SUM((AA183-Y183)/Y183)</f>
        <v>0.11431250699067716</v>
      </c>
      <c r="AC183" s="262">
        <v>21502522</v>
      </c>
      <c r="AD183" s="1">
        <f>SUM((AC183-AA183)/AA183)</f>
        <v>2.2914108888471101E-2</v>
      </c>
      <c r="AE183" s="262">
        <v>21144902</v>
      </c>
      <c r="AF183" s="1">
        <f>SUM((AE183-AC183)/AC183)</f>
        <v>-1.6631537454071667E-2</v>
      </c>
      <c r="AG183" s="262">
        <v>20975000</v>
      </c>
      <c r="AH183" s="1">
        <f>SUM((AG183-AE183)/AE183)</f>
        <v>-8.0351282782015251E-3</v>
      </c>
      <c r="AI183" s="262">
        <v>21518884</v>
      </c>
      <c r="AJ183" s="1">
        <f>SUM((AI183-AG183)/AG183)</f>
        <v>2.593010727056019E-2</v>
      </c>
      <c r="AK183" s="262">
        <v>23619883</v>
      </c>
      <c r="AL183" s="1">
        <f>SUM((AK183-AI183)/AI183)</f>
        <v>9.7635128290110215E-2</v>
      </c>
      <c r="AM183" s="262">
        <v>29588175</v>
      </c>
      <c r="AN183" s="1">
        <f>SUM((AM183-AK183)/AK183)</f>
        <v>0.2526808452014771</v>
      </c>
      <c r="AO183" s="262">
        <v>24129837</v>
      </c>
      <c r="AP183" s="1">
        <f t="shared" si="157"/>
        <v>-0.18447700812909212</v>
      </c>
    </row>
    <row r="184" spans="1:42" x14ac:dyDescent="0.2">
      <c r="A184" s="3" t="s">
        <v>209</v>
      </c>
      <c r="B184" s="320">
        <f t="shared" si="158"/>
        <v>4.6796664076637857E-2</v>
      </c>
      <c r="C184" s="320"/>
      <c r="D184" s="5">
        <v>126151831</v>
      </c>
      <c r="E184" s="5">
        <v>149307692</v>
      </c>
      <c r="F184" s="1">
        <f>SUM((E184-D184)/D184)</f>
        <v>0.18355548878240222</v>
      </c>
      <c r="G184" s="5">
        <v>153830737</v>
      </c>
      <c r="H184" s="1">
        <f>SUM((G184-E184)/E184)</f>
        <v>3.0293449315390932E-2</v>
      </c>
      <c r="I184" s="236">
        <v>156016878</v>
      </c>
      <c r="J184" s="1">
        <f>SUM((I184-G184)/G184)</f>
        <v>1.4211340611336993E-2</v>
      </c>
      <c r="K184" s="5">
        <v>167925923</v>
      </c>
      <c r="L184" s="1">
        <f>SUM((K184-I184)/I184)</f>
        <v>7.6331773540552456E-2</v>
      </c>
      <c r="M184" s="5">
        <v>161212935</v>
      </c>
      <c r="N184" s="1">
        <f>SUM((M184-K184)/K184)</f>
        <v>-3.9975888654189502E-2</v>
      </c>
      <c r="O184" s="5">
        <v>160868981</v>
      </c>
      <c r="P184" s="1">
        <f>SUM((O184-M184)/M184)</f>
        <v>-2.133538478162438E-3</v>
      </c>
      <c r="Q184" s="5">
        <v>152387822.00000629</v>
      </c>
      <c r="R184" s="1">
        <f>SUM((Q184-O184)/O184)</f>
        <v>-5.2720909570464124E-2</v>
      </c>
      <c r="S184" s="236">
        <v>142099841</v>
      </c>
      <c r="T184" s="1">
        <f>SUM((S184-Q184)/Q184)</f>
        <v>-6.7511831752578397E-2</v>
      </c>
      <c r="U184" s="262">
        <v>144903290</v>
      </c>
      <c r="V184" s="1">
        <f>SUM((U184-S184)/S184)</f>
        <v>1.9728727212298569E-2</v>
      </c>
      <c r="W184" s="262">
        <v>160347749</v>
      </c>
      <c r="X184" s="1">
        <f>SUM((W184-U184)/U184)</f>
        <v>0.10658459859676064</v>
      </c>
      <c r="Y184" s="262">
        <v>161199951</v>
      </c>
      <c r="Z184" s="1">
        <f>SUM((Y184-W184)/W184)</f>
        <v>5.3147113402882877E-3</v>
      </c>
      <c r="AA184" s="262">
        <v>174057776</v>
      </c>
      <c r="AB184" s="1">
        <f>SUM((AA184-Y184)/Y184)</f>
        <v>7.9763206627773725E-2</v>
      </c>
      <c r="AC184" s="262">
        <v>189302037</v>
      </c>
      <c r="AD184" s="1">
        <f>SUM((AC184-AA184)/AA184)</f>
        <v>8.7581614279617137E-2</v>
      </c>
      <c r="AE184" s="262">
        <v>189026824</v>
      </c>
      <c r="AF184" s="1">
        <f>SUM((AE184-AC184)/AC184)</f>
        <v>-1.45383010326508E-3</v>
      </c>
      <c r="AG184" s="262">
        <v>194494268</v>
      </c>
      <c r="AH184" s="1">
        <f>SUM((AG184-AE184)/AE184)</f>
        <v>2.892417004266019E-2</v>
      </c>
      <c r="AI184" s="262">
        <v>202772267</v>
      </c>
      <c r="AJ184" s="1">
        <f>SUM((AI184-AG184)/AG184)</f>
        <v>4.256166048040038E-2</v>
      </c>
      <c r="AK184" s="262">
        <v>216495334</v>
      </c>
      <c r="AL184" s="1">
        <f>SUM((AK184-AI184)/AI184)</f>
        <v>6.7677238130399761E-2</v>
      </c>
      <c r="AM184" s="262">
        <v>247536706</v>
      </c>
      <c r="AN184" s="1">
        <f>SUM((AM184-AK184)/AK184)</f>
        <v>0.1433812518102584</v>
      </c>
      <c r="AO184" s="262">
        <v>235516076</v>
      </c>
      <c r="AP184" s="1">
        <f t="shared" si="157"/>
        <v>-4.8561000080529472E-2</v>
      </c>
    </row>
    <row r="185" spans="1:42" x14ac:dyDescent="0.2">
      <c r="B185" s="320"/>
      <c r="C185" s="320"/>
      <c r="D185" s="5"/>
      <c r="F185" s="5"/>
      <c r="J185" s="1"/>
      <c r="L185" s="1"/>
      <c r="N185" s="1"/>
      <c r="P185" s="1"/>
      <c r="R185" s="1"/>
      <c r="T185" s="1"/>
      <c r="V185" s="1"/>
      <c r="X185" s="1"/>
      <c r="Z185" s="1"/>
      <c r="AB185" s="1"/>
      <c r="AD185" s="1"/>
      <c r="AF185" s="1"/>
      <c r="AH185" s="1"/>
      <c r="AJ185" s="1"/>
      <c r="AL185" s="1"/>
      <c r="AN185" s="1"/>
      <c r="AO185" s="262"/>
      <c r="AP185" s="1"/>
    </row>
    <row r="186" spans="1:42" x14ac:dyDescent="0.2">
      <c r="B186" s="320"/>
      <c r="C186" s="320"/>
      <c r="D186" s="5"/>
      <c r="F186" s="5"/>
      <c r="J186" s="1"/>
      <c r="L186" s="1"/>
      <c r="N186" s="1"/>
      <c r="P186" s="1"/>
      <c r="R186" s="1"/>
      <c r="T186" s="1"/>
      <c r="V186" s="1"/>
      <c r="X186" s="1"/>
      <c r="Z186" s="1"/>
      <c r="AB186" s="1"/>
      <c r="AD186" s="1"/>
      <c r="AF186" s="1"/>
      <c r="AH186" s="1"/>
      <c r="AJ186" s="1"/>
      <c r="AL186" s="1"/>
      <c r="AN186" s="1"/>
      <c r="AO186" s="262"/>
      <c r="AP186" s="1"/>
    </row>
    <row r="187" spans="1:42" x14ac:dyDescent="0.2">
      <c r="B187" s="320"/>
      <c r="C187" s="320"/>
      <c r="D187" s="5"/>
      <c r="F187" s="5"/>
      <c r="J187" s="1"/>
      <c r="L187" s="1"/>
      <c r="N187" s="1"/>
      <c r="P187" s="1"/>
      <c r="R187" s="1"/>
      <c r="T187" s="1"/>
      <c r="V187" s="1"/>
      <c r="X187" s="1"/>
      <c r="Z187" s="1"/>
      <c r="AB187" s="1"/>
      <c r="AD187" s="1"/>
      <c r="AF187" s="1"/>
      <c r="AH187" s="1"/>
      <c r="AJ187" s="1"/>
      <c r="AL187" s="1"/>
      <c r="AN187" s="1"/>
      <c r="AO187" s="262"/>
      <c r="AP187" s="1"/>
    </row>
    <row r="188" spans="1:42" x14ac:dyDescent="0.2">
      <c r="A188" s="3" t="s">
        <v>210</v>
      </c>
      <c r="B188" s="320">
        <f t="shared" ref="B188:B189" si="159">SUM((AL188+AN188+AP188+AJ188+AH188)/5)</f>
        <v>-2.5795234948165748E-2</v>
      </c>
      <c r="C188" s="320">
        <f>[1]Population!O178</f>
        <v>2.6297804603826282E-2</v>
      </c>
      <c r="D188" s="5">
        <v>104931344</v>
      </c>
      <c r="E188" s="5">
        <v>174509677</v>
      </c>
      <c r="F188" s="1">
        <f>SUM((E188-D188)/D188)</f>
        <v>0.66308435923588283</v>
      </c>
      <c r="G188" s="5">
        <v>160476171</v>
      </c>
      <c r="H188" s="1">
        <f>SUM((G188-E188)/E188)</f>
        <v>-8.0416778262674793E-2</v>
      </c>
      <c r="I188" s="236">
        <v>172554694</v>
      </c>
      <c r="J188" s="1">
        <f>SUM((I188-G188)/G188)</f>
        <v>7.5266769668875008E-2</v>
      </c>
      <c r="K188" s="5">
        <v>124573878</v>
      </c>
      <c r="L188" s="1">
        <f>SUM((K188-I188)/I188)</f>
        <v>-0.27806149394000257</v>
      </c>
      <c r="M188" s="5">
        <v>132399826</v>
      </c>
      <c r="N188" s="1">
        <f>SUM((M188-K188)/K188)</f>
        <v>6.2821741810108855E-2</v>
      </c>
      <c r="O188" s="5">
        <v>167323485</v>
      </c>
      <c r="P188" s="1">
        <f>SUM((O188-M188)/M188)</f>
        <v>0.26377420616851865</v>
      </c>
      <c r="Q188" s="5">
        <v>160918344.66668046</v>
      </c>
      <c r="R188" s="1">
        <f>SUM((Q188-O188)/O188)</f>
        <v>-3.8279984028061244E-2</v>
      </c>
      <c r="S188" s="236">
        <v>173822909</v>
      </c>
      <c r="T188" s="1">
        <f>SUM((S188-Q188)/Q188)</f>
        <v>8.0193245587067905E-2</v>
      </c>
      <c r="U188" s="262">
        <v>185915562</v>
      </c>
      <c r="V188" s="1">
        <f>SUM((U188-S188)/S188)</f>
        <v>6.9568810403466436E-2</v>
      </c>
      <c r="W188" s="262">
        <v>320271770.29368472</v>
      </c>
      <c r="X188" s="1">
        <f>SUM((W188-U188)/U188)</f>
        <v>0.72267327623539512</v>
      </c>
      <c r="Y188" s="262">
        <v>424595134</v>
      </c>
      <c r="Z188" s="1">
        <f>SUM((Y188-W188)/W188)</f>
        <v>0.32573387161363682</v>
      </c>
      <c r="AA188" s="262">
        <v>560808484</v>
      </c>
      <c r="AB188" s="1">
        <f>SUM((AA188-Y188)/Y188)</f>
        <v>0.3208076096321914</v>
      </c>
      <c r="AC188" s="262">
        <v>612039395</v>
      </c>
      <c r="AD188" s="1">
        <f>SUM((AC188-AA188)/AA188)</f>
        <v>9.1351882971870302E-2</v>
      </c>
      <c r="AE188" s="262">
        <v>583920067</v>
      </c>
      <c r="AF188" s="1">
        <f>SUM((AE188-AC188)/AC188)</f>
        <v>-4.5943656943847541E-2</v>
      </c>
      <c r="AG188" s="262">
        <v>535402745</v>
      </c>
      <c r="AH188" s="1">
        <f>SUM((AG188-AE188)/AE188)</f>
        <v>-8.3088978683789602E-2</v>
      </c>
      <c r="AI188" s="262">
        <v>512655244</v>
      </c>
      <c r="AJ188" s="1">
        <f>SUM((AI188-AG188)/AG188)</f>
        <v>-4.2486709701124149E-2</v>
      </c>
      <c r="AK188" s="262">
        <v>495854589</v>
      </c>
      <c r="AL188" s="1">
        <f>SUM((AK188-AI188)/AI188)</f>
        <v>-3.2771838768121522E-2</v>
      </c>
      <c r="AM188" s="262">
        <v>516362669</v>
      </c>
      <c r="AN188" s="1">
        <f>SUM((AM188-AK188)/AK188)</f>
        <v>4.1359060609601414E-2</v>
      </c>
      <c r="AO188" s="262">
        <v>510172664</v>
      </c>
      <c r="AP188" s="1">
        <f t="shared" si="157"/>
        <v>-1.1987708197394881E-2</v>
      </c>
    </row>
    <row r="189" spans="1:42" x14ac:dyDescent="0.2">
      <c r="A189" s="3" t="s">
        <v>211</v>
      </c>
      <c r="B189" s="320">
        <f t="shared" si="159"/>
        <v>-1.3604730437227935E-2</v>
      </c>
      <c r="C189" s="320"/>
      <c r="D189" s="5">
        <v>35383589</v>
      </c>
      <c r="E189" s="5">
        <v>48354770</v>
      </c>
      <c r="F189" s="1">
        <f>SUM((E189-D189)/D189)</f>
        <v>0.36658748777575956</v>
      </c>
      <c r="G189" s="5">
        <v>56870587</v>
      </c>
      <c r="H189" s="1">
        <f>SUM((G189-E189)/E189)</f>
        <v>0.17611120888383919</v>
      </c>
      <c r="I189" s="236">
        <v>76031618</v>
      </c>
      <c r="J189" s="1">
        <f>SUM((I189-G189)/G189)</f>
        <v>0.33692339064479854</v>
      </c>
      <c r="K189" s="5">
        <v>81840908</v>
      </c>
      <c r="L189" s="1">
        <f>SUM((K189-I189)/I189)</f>
        <v>7.6406239309546195E-2</v>
      </c>
      <c r="M189" s="5">
        <v>87291171</v>
      </c>
      <c r="N189" s="1">
        <f>SUM((M189-K189)/K189)</f>
        <v>6.6595827602499227E-2</v>
      </c>
      <c r="O189" s="5">
        <v>119970749</v>
      </c>
      <c r="P189" s="1">
        <f>SUM((O189-M189)/M189)</f>
        <v>0.37437437974110804</v>
      </c>
      <c r="Q189" s="5">
        <v>110571650.0000031</v>
      </c>
      <c r="R189" s="1">
        <f>SUM((Q189-O189)/O189)</f>
        <v>-7.8344922227641514E-2</v>
      </c>
      <c r="S189" s="236">
        <v>123943341.66666667</v>
      </c>
      <c r="T189" s="1">
        <f>SUM((S189-Q189)/Q189)</f>
        <v>0.12093236979517985</v>
      </c>
      <c r="U189" s="262">
        <v>129769211</v>
      </c>
      <c r="V189" s="1">
        <f>SUM((U189-S189)/S189)</f>
        <v>4.7004294502575428E-2</v>
      </c>
      <c r="W189" s="262">
        <v>238164566.2262561</v>
      </c>
      <c r="X189" s="1">
        <f>SUM((W189-U189)/U189)</f>
        <v>0.83529332105021503</v>
      </c>
      <c r="Y189" s="262">
        <v>262949029</v>
      </c>
      <c r="Z189" s="1">
        <f>SUM((Y189-W189)/W189)</f>
        <v>0.10406444235788914</v>
      </c>
      <c r="AA189" s="262">
        <v>333573515</v>
      </c>
      <c r="AB189" s="1">
        <f>SUM((AA189-Y189)/Y189)</f>
        <v>0.26858622094398377</v>
      </c>
      <c r="AC189" s="262">
        <v>405079507</v>
      </c>
      <c r="AD189" s="1">
        <f>SUM((AC189-AA189)/AA189)</f>
        <v>0.21436351743932669</v>
      </c>
      <c r="AE189" s="262">
        <v>383618004</v>
      </c>
      <c r="AF189" s="1">
        <f>SUM((AE189-AC189)/AC189)</f>
        <v>-5.2980964549263168E-2</v>
      </c>
      <c r="AG189" s="262">
        <v>344153663</v>
      </c>
      <c r="AH189" s="1">
        <f>SUM((AG189-AE189)/AE189)</f>
        <v>-0.10287405853871238</v>
      </c>
      <c r="AI189" s="262">
        <v>328961507</v>
      </c>
      <c r="AJ189" s="1">
        <f>SUM((AI189-AG189)/AG189)</f>
        <v>-4.4143525504187354E-2</v>
      </c>
      <c r="AK189" s="262">
        <v>320998805</v>
      </c>
      <c r="AL189" s="1">
        <f>SUM((AK189-AI189)/AI189)</f>
        <v>-2.420557369345952E-2</v>
      </c>
      <c r="AM189" s="262">
        <v>355569501</v>
      </c>
      <c r="AN189" s="1">
        <f>SUM((AM189-AK189)/AK189)</f>
        <v>0.10769727320324447</v>
      </c>
      <c r="AO189" s="262">
        <v>353970232</v>
      </c>
      <c r="AP189" s="1">
        <f t="shared" si="157"/>
        <v>-4.4977676530248865E-3</v>
      </c>
    </row>
    <row r="190" spans="1:42" x14ac:dyDescent="0.2">
      <c r="B190" s="320"/>
      <c r="C190" s="320"/>
      <c r="D190" s="5"/>
      <c r="F190" s="5"/>
      <c r="J190" s="1"/>
      <c r="L190" s="1"/>
      <c r="N190" s="1"/>
      <c r="P190" s="1"/>
      <c r="R190" s="1"/>
      <c r="T190" s="1"/>
      <c r="V190" s="1"/>
      <c r="X190" s="1"/>
      <c r="Z190" s="1"/>
      <c r="AB190" s="1"/>
      <c r="AD190" s="1"/>
      <c r="AF190" s="1"/>
      <c r="AH190" s="1"/>
      <c r="AJ190" s="1"/>
      <c r="AL190" s="1"/>
      <c r="AN190" s="1"/>
      <c r="AO190" s="262"/>
      <c r="AP190" s="1"/>
    </row>
    <row r="191" spans="1:42" x14ac:dyDescent="0.2">
      <c r="B191" s="320"/>
      <c r="C191" s="320"/>
      <c r="D191" s="5"/>
      <c r="F191" s="5"/>
      <c r="J191" s="1"/>
      <c r="L191" s="1"/>
      <c r="N191" s="1"/>
      <c r="P191" s="1"/>
      <c r="R191" s="1"/>
      <c r="T191" s="1"/>
      <c r="V191" s="1"/>
      <c r="X191" s="1"/>
      <c r="Z191" s="1"/>
      <c r="AB191" s="1"/>
      <c r="AD191" s="1"/>
      <c r="AF191" s="1"/>
      <c r="AH191" s="1"/>
      <c r="AJ191" s="1"/>
      <c r="AL191" s="1"/>
      <c r="AN191" s="1"/>
      <c r="AO191" s="262"/>
      <c r="AP191" s="1"/>
    </row>
    <row r="192" spans="1:42" x14ac:dyDescent="0.2">
      <c r="B192" s="320"/>
      <c r="C192" s="320"/>
      <c r="D192" s="5"/>
      <c r="F192" s="5"/>
      <c r="J192" s="1"/>
      <c r="L192" s="1"/>
      <c r="N192" s="1"/>
      <c r="P192" s="1"/>
      <c r="R192" s="1"/>
      <c r="T192" s="1"/>
      <c r="V192" s="1"/>
      <c r="X192" s="1"/>
      <c r="Z192" s="1"/>
      <c r="AB192" s="1"/>
      <c r="AD192" s="1"/>
      <c r="AF192" s="1"/>
      <c r="AH192" s="1"/>
      <c r="AJ192" s="1"/>
      <c r="AL192" s="1"/>
      <c r="AN192" s="1"/>
      <c r="AO192" s="262"/>
      <c r="AP192" s="1"/>
    </row>
    <row r="193" spans="1:42" x14ac:dyDescent="0.2">
      <c r="A193" s="3" t="s">
        <v>212</v>
      </c>
      <c r="B193" s="320">
        <f t="shared" ref="B193:B203" si="160">SUM((AL193+AN193+AP193+AJ193+AH193)/5)</f>
        <v>1.0488936094299175E-2</v>
      </c>
      <c r="C193" s="320">
        <f>[1]Population!O183</f>
        <v>1.6905214242446391E-2</v>
      </c>
      <c r="D193" s="5">
        <v>6845965672</v>
      </c>
      <c r="E193" s="5">
        <v>7350373686</v>
      </c>
      <c r="F193" s="1">
        <f t="shared" ref="F193:F203" si="161">SUM((E193-D193)/D193)</f>
        <v>7.3679600244422605E-2</v>
      </c>
      <c r="G193" s="5">
        <v>7879536847</v>
      </c>
      <c r="H193" s="1">
        <f>SUM((G193-E193)/E193)</f>
        <v>7.1991327734517579E-2</v>
      </c>
      <c r="I193" s="236">
        <v>8485885489</v>
      </c>
      <c r="J193" s="1">
        <f t="shared" ref="J193:J199" si="162">SUM((I193-G193)/G193)</f>
        <v>7.6952320139331148E-2</v>
      </c>
      <c r="K193" s="5">
        <v>8981653309</v>
      </c>
      <c r="L193" s="1">
        <f t="shared" ref="L193:T199" si="163">SUM((K193-I193)/I193)</f>
        <v>5.8422638467446802E-2</v>
      </c>
      <c r="M193" s="5">
        <v>9454487428.666666</v>
      </c>
      <c r="N193" s="1">
        <f t="shared" si="163"/>
        <v>5.2644441218062388E-2</v>
      </c>
      <c r="O193" s="5">
        <v>9784673309</v>
      </c>
      <c r="P193" s="1">
        <f t="shared" si="163"/>
        <v>3.492372091290611E-2</v>
      </c>
      <c r="Q193" s="5">
        <v>10705844042.3337</v>
      </c>
      <c r="R193" s="1">
        <f t="shared" si="163"/>
        <v>9.4144250323248094E-2</v>
      </c>
      <c r="S193" s="236">
        <v>11246550781.000008</v>
      </c>
      <c r="T193" s="1">
        <f t="shared" si="163"/>
        <v>5.0505755223802247E-2</v>
      </c>
      <c r="U193" s="262">
        <v>12225341361</v>
      </c>
      <c r="V193" s="1">
        <f t="shared" ref="V193:V203" si="164">SUM((U193-S193)/S193)</f>
        <v>8.7030290358317428E-2</v>
      </c>
      <c r="W193" s="262">
        <v>14020571806.653833</v>
      </c>
      <c r="X193" s="1">
        <f t="shared" ref="X193:Z203" si="165">SUM((W193-U193)/U193)</f>
        <v>0.14684501582759799</v>
      </c>
      <c r="Y193" s="262">
        <v>15487078879</v>
      </c>
      <c r="Z193" s="1">
        <f t="shared" si="165"/>
        <v>0.10459680907238011</v>
      </c>
      <c r="AA193" s="262">
        <v>18091051662</v>
      </c>
      <c r="AB193" s="1">
        <f t="shared" ref="AB193:AB203" si="166">SUM((AA193-Y193)/Y193)</f>
        <v>0.16813840772328645</v>
      </c>
      <c r="AC193" s="262">
        <v>15525096643</v>
      </c>
      <c r="AD193" s="1">
        <f t="shared" ref="AD193:AD203" si="167">SUM((AC193-AA193)/AA193)</f>
        <v>-0.14183559181303718</v>
      </c>
      <c r="AE193" s="262">
        <v>13965519684</v>
      </c>
      <c r="AF193" s="1">
        <f t="shared" ref="AF193:AF203" si="168">SUM((AE193-AC193)/AC193)</f>
        <v>-0.10045521743680652</v>
      </c>
      <c r="AG193" s="262">
        <v>12988012010</v>
      </c>
      <c r="AH193" s="1">
        <f t="shared" ref="AH193:AH203" si="169">SUM((AG193-AE193)/AE193)</f>
        <v>-6.9994364414516549E-2</v>
      </c>
      <c r="AI193" s="262">
        <v>12556020178</v>
      </c>
      <c r="AJ193" s="1">
        <f t="shared" ref="AJ193:AJ203" si="170">SUM((AI193-AG193)/AG193)</f>
        <v>-3.3260812483649684E-2</v>
      </c>
      <c r="AK193" s="262">
        <v>12313372516</v>
      </c>
      <c r="AL193" s="1">
        <f t="shared" ref="AL193:AL203" si="171">SUM((AK193-AI193)/AI193)</f>
        <v>-1.9325204846767807E-2</v>
      </c>
      <c r="AM193" s="262">
        <v>13483050295</v>
      </c>
      <c r="AN193" s="1">
        <f t="shared" ref="AN193:AN203" si="172">SUM((AM193-AK193)/AK193)</f>
        <v>9.4992478906986727E-2</v>
      </c>
      <c r="AO193" s="262">
        <v>14562133641</v>
      </c>
      <c r="AP193" s="1">
        <f t="shared" si="157"/>
        <v>8.0032583309443184E-2</v>
      </c>
    </row>
    <row r="194" spans="1:42" x14ac:dyDescent="0.2">
      <c r="A194" s="3" t="s">
        <v>213</v>
      </c>
      <c r="B194" s="320">
        <f t="shared" si="160"/>
        <v>1.0869027402782722E-2</v>
      </c>
      <c r="C194" s="320">
        <f>[1]Population!O184</f>
        <v>1.853327923706153E-2</v>
      </c>
      <c r="D194" s="5">
        <v>3379036886</v>
      </c>
      <c r="E194" s="5">
        <v>3483634762</v>
      </c>
      <c r="F194" s="1">
        <f t="shared" si="161"/>
        <v>3.0954937613545778E-2</v>
      </c>
      <c r="G194" s="5">
        <v>3737801662</v>
      </c>
      <c r="H194" s="1">
        <f>SUM((G194-E194)/E194)</f>
        <v>7.2960260579693917E-2</v>
      </c>
      <c r="I194" s="236">
        <v>4121927460</v>
      </c>
      <c r="J194" s="1">
        <f t="shared" si="162"/>
        <v>0.10276783862160956</v>
      </c>
      <c r="K194" s="5">
        <v>4531632345</v>
      </c>
      <c r="L194" s="1">
        <f t="shared" si="163"/>
        <v>9.9396432609709248E-2</v>
      </c>
      <c r="M194" s="5">
        <v>4595243345</v>
      </c>
      <c r="N194" s="1">
        <f t="shared" si="163"/>
        <v>1.4037105210043248E-2</v>
      </c>
      <c r="O194" s="5">
        <v>4704344957.666667</v>
      </c>
      <c r="P194" s="1">
        <f t="shared" si="163"/>
        <v>2.3742292730890617E-2</v>
      </c>
      <c r="Q194" s="5">
        <v>4939057881</v>
      </c>
      <c r="R194" s="1">
        <f t="shared" si="163"/>
        <v>4.9892796009957045E-2</v>
      </c>
      <c r="S194" s="236">
        <v>5231956539</v>
      </c>
      <c r="T194" s="1">
        <f t="shared" si="163"/>
        <v>5.9302536041690904E-2</v>
      </c>
      <c r="U194" s="262">
        <v>5722127095</v>
      </c>
      <c r="V194" s="1">
        <f t="shared" si="164"/>
        <v>9.3687811117346892E-2</v>
      </c>
      <c r="W194" s="262">
        <v>6562104433.6503658</v>
      </c>
      <c r="X194" s="1">
        <f t="shared" si="165"/>
        <v>0.14679459660802341</v>
      </c>
      <c r="Y194" s="262">
        <v>7099900952</v>
      </c>
      <c r="Z194" s="1">
        <f t="shared" si="165"/>
        <v>8.1954885629649893E-2</v>
      </c>
      <c r="AA194" s="262">
        <v>8320495900</v>
      </c>
      <c r="AB194" s="1">
        <f t="shared" si="166"/>
        <v>0.17191717972574894</v>
      </c>
      <c r="AC194" s="262">
        <v>7286153623</v>
      </c>
      <c r="AD194" s="1">
        <f t="shared" si="167"/>
        <v>-0.12431257576847073</v>
      </c>
      <c r="AE194" s="262">
        <v>6559711249</v>
      </c>
      <c r="AF194" s="1">
        <f t="shared" si="168"/>
        <v>-9.9701764687867608E-2</v>
      </c>
      <c r="AG194" s="262">
        <v>6155573489</v>
      </c>
      <c r="AH194" s="1">
        <f t="shared" si="169"/>
        <v>-6.1609077695547812E-2</v>
      </c>
      <c r="AI194" s="262">
        <v>5999379417</v>
      </c>
      <c r="AJ194" s="1">
        <f t="shared" si="170"/>
        <v>-2.5374414305851203E-2</v>
      </c>
      <c r="AK194" s="262">
        <v>5945944811</v>
      </c>
      <c r="AL194" s="1">
        <f t="shared" si="171"/>
        <v>-8.906688889951898E-3</v>
      </c>
      <c r="AM194" s="262">
        <v>6416168498</v>
      </c>
      <c r="AN194" s="1">
        <f t="shared" si="172"/>
        <v>7.9083089726982664E-2</v>
      </c>
      <c r="AO194" s="262">
        <v>6872693183</v>
      </c>
      <c r="AP194" s="1">
        <f t="shared" si="157"/>
        <v>7.1152228178281859E-2</v>
      </c>
    </row>
    <row r="195" spans="1:42" x14ac:dyDescent="0.2">
      <c r="A195" s="3" t="s">
        <v>214</v>
      </c>
      <c r="B195" s="320">
        <f t="shared" si="160"/>
        <v>1.9599098658767765E-2</v>
      </c>
      <c r="C195" s="320">
        <f>[1]Population!O185</f>
        <v>2.2536769318060704E-2</v>
      </c>
      <c r="D195" s="5">
        <v>1200156196</v>
      </c>
      <c r="E195" s="5">
        <v>1239040471</v>
      </c>
      <c r="F195" s="1">
        <f t="shared" si="161"/>
        <v>3.239934529321882E-2</v>
      </c>
      <c r="G195" s="5">
        <v>1359617874</v>
      </c>
      <c r="H195" s="1">
        <f>SUM((G195-E195)/E195)</f>
        <v>9.7315144922332397E-2</v>
      </c>
      <c r="I195" s="236">
        <v>1451035928</v>
      </c>
      <c r="J195" s="1">
        <f t="shared" si="162"/>
        <v>6.7238049563917393E-2</v>
      </c>
      <c r="K195" s="5">
        <v>1528441653</v>
      </c>
      <c r="L195" s="1">
        <f t="shared" si="163"/>
        <v>5.3345147081706165E-2</v>
      </c>
      <c r="M195" s="5">
        <v>1623119999</v>
      </c>
      <c r="N195" s="1">
        <f t="shared" si="163"/>
        <v>6.1944363930521593E-2</v>
      </c>
      <c r="O195" s="5">
        <v>1646166311.6666665</v>
      </c>
      <c r="P195" s="1">
        <f t="shared" si="163"/>
        <v>1.4198773153473114E-2</v>
      </c>
      <c r="Q195" s="5">
        <v>1721035140</v>
      </c>
      <c r="R195" s="1">
        <f t="shared" si="163"/>
        <v>4.5480719537707159E-2</v>
      </c>
      <c r="S195" s="236">
        <v>1846078980.0000079</v>
      </c>
      <c r="T195" s="1">
        <f t="shared" si="163"/>
        <v>7.2656180628599992E-2</v>
      </c>
      <c r="U195" s="262">
        <v>2075193140</v>
      </c>
      <c r="V195" s="1">
        <f t="shared" si="164"/>
        <v>0.1241085362447446</v>
      </c>
      <c r="W195" s="262">
        <v>2511520135.511826</v>
      </c>
      <c r="X195" s="1">
        <f t="shared" si="165"/>
        <v>0.2102584993663896</v>
      </c>
      <c r="Y195" s="262">
        <v>2885668149</v>
      </c>
      <c r="Z195" s="1">
        <f t="shared" si="165"/>
        <v>0.14897273097590588</v>
      </c>
      <c r="AA195" s="262">
        <v>3232329021</v>
      </c>
      <c r="AB195" s="1">
        <f t="shared" si="166"/>
        <v>0.12013192581417649</v>
      </c>
      <c r="AC195" s="262">
        <v>2666422474</v>
      </c>
      <c r="AD195" s="1">
        <f t="shared" si="167"/>
        <v>-0.17507702443760598</v>
      </c>
      <c r="AE195" s="262">
        <v>2424145071</v>
      </c>
      <c r="AF195" s="1">
        <f t="shared" si="168"/>
        <v>-9.0862346594517945E-2</v>
      </c>
      <c r="AG195" s="262">
        <v>2292182146</v>
      </c>
      <c r="AH195" s="1">
        <f t="shared" si="169"/>
        <v>-5.4436892650802912E-2</v>
      </c>
      <c r="AI195" s="262">
        <v>2184108157</v>
      </c>
      <c r="AJ195" s="1">
        <f t="shared" si="170"/>
        <v>-4.7148953318825827E-2</v>
      </c>
      <c r="AK195" s="262">
        <v>2170607395</v>
      </c>
      <c r="AL195" s="1">
        <f t="shared" si="171"/>
        <v>-6.1813614663406066E-3</v>
      </c>
      <c r="AM195" s="262">
        <v>2396747010</v>
      </c>
      <c r="AN195" s="1">
        <f t="shared" si="172"/>
        <v>0.10418264284960661</v>
      </c>
      <c r="AO195" s="262">
        <v>2640208710</v>
      </c>
      <c r="AP195" s="1">
        <f t="shared" si="157"/>
        <v>0.10158005788020155</v>
      </c>
    </row>
    <row r="196" spans="1:42" x14ac:dyDescent="0.2">
      <c r="A196" s="3" t="s">
        <v>215</v>
      </c>
      <c r="B196" s="320">
        <f t="shared" si="160"/>
        <v>1.0484529767540671E-2</v>
      </c>
      <c r="C196" s="320"/>
      <c r="D196" s="5">
        <v>6845965672</v>
      </c>
      <c r="E196" s="5">
        <v>7350373686</v>
      </c>
      <c r="F196" s="1">
        <f t="shared" si="161"/>
        <v>7.3679600244422605E-2</v>
      </c>
      <c r="G196" s="5">
        <v>7879536847</v>
      </c>
      <c r="H196" s="1">
        <f>SUM((G196-E196)/E196)</f>
        <v>7.1991327734517579E-2</v>
      </c>
      <c r="I196" s="236">
        <v>8485885489</v>
      </c>
      <c r="J196" s="1">
        <f t="shared" si="162"/>
        <v>7.6952320139331148E-2</v>
      </c>
      <c r="K196" s="5">
        <v>8981653309</v>
      </c>
      <c r="L196" s="1">
        <f t="shared" si="163"/>
        <v>5.8422638467446802E-2</v>
      </c>
      <c r="M196" s="5">
        <v>9454487428.666666</v>
      </c>
      <c r="N196" s="1">
        <f t="shared" si="163"/>
        <v>5.2644441218062388E-2</v>
      </c>
      <c r="O196" s="5">
        <v>9784673309</v>
      </c>
      <c r="P196" s="1">
        <f t="shared" si="163"/>
        <v>3.492372091290611E-2</v>
      </c>
      <c r="Q196" s="5">
        <v>10705844042.3337</v>
      </c>
      <c r="R196" s="1">
        <f t="shared" si="163"/>
        <v>9.4144250323248094E-2</v>
      </c>
      <c r="S196" s="236">
        <v>11246550781.000008</v>
      </c>
      <c r="T196" s="1">
        <f t="shared" si="163"/>
        <v>5.0505755223802247E-2</v>
      </c>
      <c r="U196" s="262">
        <v>12225341361</v>
      </c>
      <c r="V196" s="1">
        <f t="shared" si="164"/>
        <v>8.7030290358317428E-2</v>
      </c>
      <c r="W196" s="262">
        <v>14020571806.653833</v>
      </c>
      <c r="X196" s="1">
        <f t="shared" si="165"/>
        <v>0.14684501582759799</v>
      </c>
      <c r="Y196" s="262">
        <v>15487078879</v>
      </c>
      <c r="Z196" s="1">
        <f t="shared" si="165"/>
        <v>0.10459680907238011</v>
      </c>
      <c r="AA196" s="262">
        <v>18091051662</v>
      </c>
      <c r="AB196" s="1">
        <f t="shared" si="166"/>
        <v>0.16813840772328645</v>
      </c>
      <c r="AC196" s="262">
        <v>15525096643</v>
      </c>
      <c r="AD196" s="1">
        <f t="shared" si="167"/>
        <v>-0.14183559181303718</v>
      </c>
      <c r="AE196" s="262">
        <v>13965850532</v>
      </c>
      <c r="AF196" s="1">
        <f t="shared" si="168"/>
        <v>-0.10043390690923894</v>
      </c>
      <c r="AG196" s="262">
        <v>12988012010</v>
      </c>
      <c r="AH196" s="1">
        <f t="shared" si="169"/>
        <v>-7.0016396048309074E-2</v>
      </c>
      <c r="AI196" s="262">
        <v>12556020178</v>
      </c>
      <c r="AJ196" s="1">
        <f t="shared" si="170"/>
        <v>-3.3260812483649684E-2</v>
      </c>
      <c r="AK196" s="262">
        <v>12313372516</v>
      </c>
      <c r="AL196" s="1">
        <f t="shared" si="171"/>
        <v>-1.9325204846767807E-2</v>
      </c>
      <c r="AM196" s="262">
        <v>13483050295</v>
      </c>
      <c r="AN196" s="1">
        <f t="shared" si="172"/>
        <v>9.4992478906986727E-2</v>
      </c>
      <c r="AO196" s="262">
        <v>14562133641</v>
      </c>
      <c r="AP196" s="1">
        <f t="shared" si="157"/>
        <v>8.0032583309443184E-2</v>
      </c>
    </row>
    <row r="197" spans="1:42" x14ac:dyDescent="0.2">
      <c r="A197" s="3" t="s">
        <v>216</v>
      </c>
      <c r="B197" s="320">
        <f t="shared" si="160"/>
        <v>5.4215938034974653E-3</v>
      </c>
      <c r="C197" s="320"/>
      <c r="D197" s="5">
        <v>681188912</v>
      </c>
      <c r="E197" s="5">
        <v>725547124</v>
      </c>
      <c r="F197" s="1">
        <f t="shared" si="161"/>
        <v>6.5118810976770566E-2</v>
      </c>
      <c r="G197" s="5">
        <v>886255838</v>
      </c>
      <c r="H197" s="1">
        <f t="shared" ref="H197:H203" si="173">SUM((G197-E197)/E197)</f>
        <v>0.2215000358818871</v>
      </c>
      <c r="I197" s="236">
        <v>903365275</v>
      </c>
      <c r="J197" s="1">
        <f t="shared" si="162"/>
        <v>1.930530244924604E-2</v>
      </c>
      <c r="K197" s="5">
        <v>938698852</v>
      </c>
      <c r="L197" s="1">
        <f t="shared" si="163"/>
        <v>3.9113277848763887E-2</v>
      </c>
      <c r="M197" s="5">
        <v>972195797.33333337</v>
      </c>
      <c r="N197" s="1">
        <f t="shared" si="163"/>
        <v>3.568444263244222E-2</v>
      </c>
      <c r="O197" s="5">
        <v>1082654227.6666667</v>
      </c>
      <c r="P197" s="1">
        <f t="shared" si="163"/>
        <v>0.11361747359566179</v>
      </c>
      <c r="Q197" s="5">
        <v>1399645447.0000064</v>
      </c>
      <c r="R197" s="1">
        <f t="shared" si="163"/>
        <v>0.29279082022015307</v>
      </c>
      <c r="S197" s="236">
        <v>1399188088</v>
      </c>
      <c r="T197" s="1">
        <f t="shared" si="163"/>
        <v>-3.2676775463867544E-4</v>
      </c>
      <c r="U197" s="262">
        <v>1445782050</v>
      </c>
      <c r="V197" s="1">
        <f t="shared" si="164"/>
        <v>3.3300713749358335E-2</v>
      </c>
      <c r="W197" s="262">
        <v>1559038953.1600275</v>
      </c>
      <c r="X197" s="1">
        <f t="shared" si="165"/>
        <v>7.8336083339828097E-2</v>
      </c>
      <c r="Y197" s="262">
        <v>1547081848</v>
      </c>
      <c r="Z197" s="1">
        <f t="shared" si="165"/>
        <v>-7.6695358610453955E-3</v>
      </c>
      <c r="AA197" s="262">
        <v>1905891599</v>
      </c>
      <c r="AB197" s="1">
        <f t="shared" si="166"/>
        <v>0.23192680559458029</v>
      </c>
      <c r="AC197" s="262">
        <v>1580606324</v>
      </c>
      <c r="AD197" s="1">
        <f t="shared" si="167"/>
        <v>-0.17067354469198223</v>
      </c>
      <c r="AE197" s="262">
        <v>1448979941</v>
      </c>
      <c r="AF197" s="1">
        <f t="shared" si="168"/>
        <v>-8.3275880275422709E-2</v>
      </c>
      <c r="AG197" s="262">
        <v>1370882754</v>
      </c>
      <c r="AH197" s="1">
        <f t="shared" si="169"/>
        <v>-5.3898045645892068E-2</v>
      </c>
      <c r="AI197" s="262">
        <v>1374382050</v>
      </c>
      <c r="AJ197" s="1">
        <f t="shared" si="170"/>
        <v>2.5525859084518034E-3</v>
      </c>
      <c r="AK197" s="262">
        <v>1392531036</v>
      </c>
      <c r="AL197" s="1">
        <f t="shared" si="171"/>
        <v>1.3205197201171246E-2</v>
      </c>
      <c r="AM197" s="262">
        <v>1456574018</v>
      </c>
      <c r="AN197" s="1">
        <f t="shared" si="172"/>
        <v>4.5990344447877717E-2</v>
      </c>
      <c r="AO197" s="262">
        <v>1484624556</v>
      </c>
      <c r="AP197" s="1">
        <f t="shared" si="157"/>
        <v>1.9257887105878613E-2</v>
      </c>
    </row>
    <row r="198" spans="1:42" x14ac:dyDescent="0.2">
      <c r="A198" s="3" t="s">
        <v>217</v>
      </c>
      <c r="B198" s="320">
        <f t="shared" si="160"/>
        <v>5.0615641391614325E-3</v>
      </c>
      <c r="C198" s="320"/>
      <c r="D198" s="5">
        <v>684889634</v>
      </c>
      <c r="E198" s="5">
        <v>730286590</v>
      </c>
      <c r="F198" s="1">
        <f t="shared" si="161"/>
        <v>6.6283607965951494E-2</v>
      </c>
      <c r="G198" s="5">
        <v>892096896</v>
      </c>
      <c r="H198" s="1">
        <f t="shared" si="173"/>
        <v>0.22157096709115254</v>
      </c>
      <c r="I198" s="236">
        <v>909244608</v>
      </c>
      <c r="J198" s="1">
        <f t="shared" si="162"/>
        <v>1.9221804354310857E-2</v>
      </c>
      <c r="K198" s="5">
        <f>968096770-17016650</f>
        <v>951080120</v>
      </c>
      <c r="L198" s="1">
        <f t="shared" si="163"/>
        <v>4.601128412740612E-2</v>
      </c>
      <c r="M198" s="5">
        <v>995773059.66666663</v>
      </c>
      <c r="N198" s="1">
        <f t="shared" si="163"/>
        <v>4.6991771488890575E-2</v>
      </c>
      <c r="O198" s="5">
        <v>1090786922</v>
      </c>
      <c r="P198" s="1">
        <f t="shared" si="163"/>
        <v>9.5417185081447281E-2</v>
      </c>
      <c r="Q198" s="5">
        <v>1405789422.0000131</v>
      </c>
      <c r="R198" s="1">
        <f t="shared" si="163"/>
        <v>0.28878463212819222</v>
      </c>
      <c r="S198" s="236">
        <v>1404834299</v>
      </c>
      <c r="T198" s="1">
        <f t="shared" si="163"/>
        <v>-6.7942110323625986E-4</v>
      </c>
      <c r="U198" s="262">
        <v>1465918025</v>
      </c>
      <c r="V198" s="1">
        <f t="shared" si="164"/>
        <v>4.3481089580088617E-2</v>
      </c>
      <c r="W198" s="262">
        <v>1563232041.468262</v>
      </c>
      <c r="X198" s="1">
        <f t="shared" si="165"/>
        <v>6.6384350835894765E-2</v>
      </c>
      <c r="Y198" s="262">
        <v>1552854186</v>
      </c>
      <c r="Z198" s="1">
        <f t="shared" si="165"/>
        <v>-6.6387172172562309E-3</v>
      </c>
      <c r="AA198" s="262">
        <v>1910426420</v>
      </c>
      <c r="AB198" s="1">
        <f t="shared" si="166"/>
        <v>0.23026774646566847</v>
      </c>
      <c r="AC198" s="262">
        <v>1584138723</v>
      </c>
      <c r="AD198" s="1">
        <f t="shared" si="167"/>
        <v>-0.17079312429106797</v>
      </c>
      <c r="AE198" s="262">
        <v>1452088673</v>
      </c>
      <c r="AF198" s="1">
        <f t="shared" si="168"/>
        <v>-8.3357630290058882E-2</v>
      </c>
      <c r="AG198" s="262">
        <v>1374011889</v>
      </c>
      <c r="AH198" s="1">
        <f t="shared" si="169"/>
        <v>-5.3768606182082658E-2</v>
      </c>
      <c r="AI198" s="262">
        <v>1377575931</v>
      </c>
      <c r="AJ198" s="1">
        <f t="shared" si="170"/>
        <v>2.5938945860169336E-3</v>
      </c>
      <c r="AK198" s="262">
        <v>1395738551</v>
      </c>
      <c r="AL198" s="1">
        <f t="shared" si="171"/>
        <v>1.3184478322596361E-2</v>
      </c>
      <c r="AM198" s="262">
        <v>1457210083</v>
      </c>
      <c r="AN198" s="1">
        <f t="shared" si="172"/>
        <v>4.4042297145090462E-2</v>
      </c>
      <c r="AO198" s="262">
        <v>1485269766</v>
      </c>
      <c r="AP198" s="1">
        <f t="shared" si="157"/>
        <v>1.9255756824186069E-2</v>
      </c>
    </row>
    <row r="199" spans="1:42" x14ac:dyDescent="0.2">
      <c r="A199" s="3" t="s">
        <v>218</v>
      </c>
      <c r="B199" s="320">
        <f t="shared" si="160"/>
        <v>-2.8126297155702685E-2</v>
      </c>
      <c r="C199" s="320"/>
      <c r="D199" s="5">
        <v>29184758</v>
      </c>
      <c r="E199" s="5">
        <v>34054803</v>
      </c>
      <c r="F199" s="1">
        <f t="shared" si="161"/>
        <v>0.16686946658937518</v>
      </c>
      <c r="G199" s="5">
        <v>36427056</v>
      </c>
      <c r="H199" s="1">
        <f t="shared" si="173"/>
        <v>6.9659865599574891E-2</v>
      </c>
      <c r="I199" s="236">
        <v>35979635</v>
      </c>
      <c r="J199" s="1">
        <f t="shared" si="162"/>
        <v>-1.2282656056531168E-2</v>
      </c>
      <c r="K199" s="5">
        <v>44226614</v>
      </c>
      <c r="L199" s="1">
        <f t="shared" si="163"/>
        <v>0.22921241418930458</v>
      </c>
      <c r="M199" s="5">
        <v>40332873.333333328</v>
      </c>
      <c r="N199" s="1">
        <f t="shared" si="163"/>
        <v>-8.8040668604353736E-2</v>
      </c>
      <c r="O199" s="5">
        <v>44772291.333333336</v>
      </c>
      <c r="P199" s="1">
        <f t="shared" si="163"/>
        <v>0.11006947021379272</v>
      </c>
      <c r="Q199" s="5">
        <v>47484343.000014305</v>
      </c>
      <c r="R199" s="1">
        <f t="shared" si="163"/>
        <v>6.0574332604278053E-2</v>
      </c>
      <c r="S199" s="236">
        <v>49211377</v>
      </c>
      <c r="T199" s="1">
        <f t="shared" si="163"/>
        <v>3.6370599041144459E-2</v>
      </c>
      <c r="U199" s="262">
        <v>56072569</v>
      </c>
      <c r="V199" s="1">
        <f t="shared" si="164"/>
        <v>0.13942288182669629</v>
      </c>
      <c r="W199" s="262">
        <v>66589283.547503054</v>
      </c>
      <c r="X199" s="1">
        <f t="shared" si="165"/>
        <v>0.18755542567530756</v>
      </c>
      <c r="Y199" s="262">
        <v>115393765</v>
      </c>
      <c r="Z199" s="1">
        <f t="shared" si="165"/>
        <v>0.73291795394796677</v>
      </c>
      <c r="AA199" s="262">
        <v>124859557</v>
      </c>
      <c r="AB199" s="1">
        <f t="shared" si="166"/>
        <v>8.2030359265944736E-2</v>
      </c>
      <c r="AC199" s="262">
        <v>97217567</v>
      </c>
      <c r="AD199" s="1">
        <f t="shared" si="167"/>
        <v>-0.22138465540126817</v>
      </c>
      <c r="AE199" s="262">
        <v>74743870</v>
      </c>
      <c r="AF199" s="1">
        <f t="shared" si="168"/>
        <v>-0.23116909519037851</v>
      </c>
      <c r="AG199" s="262">
        <v>57050678</v>
      </c>
      <c r="AH199" s="1">
        <f t="shared" si="169"/>
        <v>-0.23671763316510103</v>
      </c>
      <c r="AI199" s="262">
        <v>57430404</v>
      </c>
      <c r="AJ199" s="1">
        <f t="shared" si="170"/>
        <v>6.6559419328899123E-3</v>
      </c>
      <c r="AK199" s="262">
        <v>57644286</v>
      </c>
      <c r="AL199" s="1">
        <f t="shared" si="171"/>
        <v>3.7241945921188367E-3</v>
      </c>
      <c r="AM199" s="262">
        <v>59646884</v>
      </c>
      <c r="AN199" s="1">
        <f t="shared" si="172"/>
        <v>3.4740615921585012E-2</v>
      </c>
      <c r="AO199" s="262">
        <v>62686811</v>
      </c>
      <c r="AP199" s="1">
        <f t="shared" si="157"/>
        <v>5.0965394939993851E-2</v>
      </c>
    </row>
    <row r="200" spans="1:42" x14ac:dyDescent="0.2">
      <c r="A200" s="3" t="s">
        <v>537</v>
      </c>
      <c r="B200" s="320">
        <f t="shared" si="160"/>
        <v>1.3880157912384089E-2</v>
      </c>
      <c r="C200" s="320"/>
      <c r="D200" s="5">
        <v>320615526</v>
      </c>
      <c r="E200" s="5">
        <v>362354953</v>
      </c>
      <c r="F200" s="1">
        <f t="shared" si="161"/>
        <v>0.13018529551809666</v>
      </c>
      <c r="G200" s="5">
        <v>441114747</v>
      </c>
      <c r="H200" s="1">
        <f t="shared" si="173"/>
        <v>0.21735536756965482</v>
      </c>
      <c r="I200" s="236">
        <v>487529550</v>
      </c>
      <c r="J200" s="1">
        <f>SUM((I200-G200)/G200)</f>
        <v>0.10522160801846872</v>
      </c>
      <c r="K200" s="5">
        <v>532047779</v>
      </c>
      <c r="L200" s="1">
        <f>SUM((K200-I200)/I200)</f>
        <v>9.1313909074844796E-2</v>
      </c>
      <c r="M200" s="5">
        <v>603484444</v>
      </c>
      <c r="N200" s="1">
        <f>SUM((M200-K200)/K200)</f>
        <v>0.13426738691451243</v>
      </c>
      <c r="O200" s="5">
        <v>673675232</v>
      </c>
      <c r="P200" s="1">
        <f>SUM((O200-M200)/M200)</f>
        <v>0.11630919189028839</v>
      </c>
      <c r="Q200" s="5">
        <v>805089875.66676664</v>
      </c>
      <c r="R200" s="1">
        <f>SUM((Q200-O200)/O200)</f>
        <v>0.19507121150442805</v>
      </c>
      <c r="S200" s="236">
        <v>811180110</v>
      </c>
      <c r="T200" s="1">
        <f>SUM((S200-Q200)/Q200)</f>
        <v>7.56466391803709E-3</v>
      </c>
      <c r="U200" s="262">
        <v>860222912</v>
      </c>
      <c r="V200" s="1">
        <f t="shared" si="164"/>
        <v>6.0458585455207971E-2</v>
      </c>
      <c r="W200" s="262">
        <v>1002531938.2623714</v>
      </c>
      <c r="X200" s="1">
        <f t="shared" si="165"/>
        <v>0.16543273176891551</v>
      </c>
      <c r="Y200" s="262">
        <v>1067161195</v>
      </c>
      <c r="Z200" s="1">
        <f t="shared" si="165"/>
        <v>6.4466032722754543E-2</v>
      </c>
      <c r="AA200" s="262">
        <v>1382427938</v>
      </c>
      <c r="AB200" s="1">
        <f t="shared" si="166"/>
        <v>0.2954256062506096</v>
      </c>
      <c r="AC200" s="262">
        <v>1153811055</v>
      </c>
      <c r="AD200" s="1">
        <f t="shared" si="167"/>
        <v>-0.16537345399048206</v>
      </c>
      <c r="AE200" s="262">
        <v>1028071722</v>
      </c>
      <c r="AF200" s="1">
        <f t="shared" si="168"/>
        <v>-0.10897740358363961</v>
      </c>
      <c r="AG200" s="262">
        <f>31433087+911673057</f>
        <v>943106144</v>
      </c>
      <c r="AH200" s="1">
        <f t="shared" si="169"/>
        <v>-8.2645574410614903E-2</v>
      </c>
      <c r="AI200" s="262">
        <v>912138416</v>
      </c>
      <c r="AJ200" s="1">
        <f t="shared" si="170"/>
        <v>-3.2835888300606811E-2</v>
      </c>
      <c r="AK200" s="262">
        <v>906703516</v>
      </c>
      <c r="AL200" s="1">
        <f t="shared" si="171"/>
        <v>-5.9584158551655607E-3</v>
      </c>
      <c r="AM200" s="262">
        <v>989532997</v>
      </c>
      <c r="AN200" s="1">
        <f t="shared" si="172"/>
        <v>9.1352332419983695E-2</v>
      </c>
      <c r="AO200" s="262">
        <v>1087979988</v>
      </c>
      <c r="AP200" s="1">
        <f t="shared" si="157"/>
        <v>9.9488335708324036E-2</v>
      </c>
    </row>
    <row r="201" spans="1:42" x14ac:dyDescent="0.2">
      <c r="A201" s="3" t="s">
        <v>220</v>
      </c>
      <c r="B201" s="320">
        <f t="shared" si="160"/>
        <v>-1.7236327877459268E-3</v>
      </c>
      <c r="C201" s="320"/>
      <c r="D201" s="5">
        <v>102234193</v>
      </c>
      <c r="E201" s="5">
        <v>128933719</v>
      </c>
      <c r="F201" s="1">
        <f t="shared" si="161"/>
        <v>0.26116043191146432</v>
      </c>
      <c r="G201" s="5">
        <v>133175523</v>
      </c>
      <c r="H201" s="1">
        <f t="shared" si="173"/>
        <v>3.2899105314723759E-2</v>
      </c>
      <c r="I201" s="236">
        <v>140319011</v>
      </c>
      <c r="J201" s="1">
        <f>SUM((I201-G201)/G201)</f>
        <v>5.3639646678917116E-2</v>
      </c>
      <c r="K201" s="5">
        <v>167651115</v>
      </c>
      <c r="L201" s="1">
        <f>SUM((K201-I201)/I201)</f>
        <v>0.19478546638274125</v>
      </c>
      <c r="M201" s="5">
        <v>165483456</v>
      </c>
      <c r="N201" s="1">
        <f>SUM((M201-K201)/K201)</f>
        <v>-1.292958296161645E-2</v>
      </c>
      <c r="O201" s="5">
        <v>175250071.66666666</v>
      </c>
      <c r="P201" s="1">
        <f>SUM((O201-M201)/M201)</f>
        <v>5.9018683213061834E-2</v>
      </c>
      <c r="Q201" s="5">
        <v>177385226.33334425</v>
      </c>
      <c r="R201" s="1">
        <f>SUM((Q201-O201)/O201)</f>
        <v>1.2183473857510041E-2</v>
      </c>
      <c r="S201" s="236">
        <v>178760006</v>
      </c>
      <c r="T201" s="1">
        <f>SUM((S201-Q201)/Q201)</f>
        <v>7.7502489642076967E-3</v>
      </c>
      <c r="U201" s="262">
        <v>193457156</v>
      </c>
      <c r="V201" s="1">
        <f t="shared" si="164"/>
        <v>8.2217215857555967E-2</v>
      </c>
      <c r="W201" s="262">
        <v>212611094.15801817</v>
      </c>
      <c r="X201" s="1">
        <f t="shared" si="165"/>
        <v>9.9008682615070454E-2</v>
      </c>
      <c r="Y201" s="262">
        <v>283591666</v>
      </c>
      <c r="Z201" s="1">
        <f t="shared" si="165"/>
        <v>0.33385168409522031</v>
      </c>
      <c r="AA201" s="262">
        <v>277131287</v>
      </c>
      <c r="AB201" s="1">
        <f t="shared" si="166"/>
        <v>-2.2780567183522241E-2</v>
      </c>
      <c r="AC201" s="262">
        <v>231745619</v>
      </c>
      <c r="AD201" s="1">
        <f t="shared" si="167"/>
        <v>-0.16376955662894893</v>
      </c>
      <c r="AE201" s="262">
        <v>207335599</v>
      </c>
      <c r="AF201" s="1">
        <f t="shared" si="168"/>
        <v>-0.10533109581674552</v>
      </c>
      <c r="AG201" s="262">
        <v>156961441</v>
      </c>
      <c r="AH201" s="1">
        <f t="shared" si="169"/>
        <v>-0.24295952187159139</v>
      </c>
      <c r="AI201" s="262">
        <v>123998423</v>
      </c>
      <c r="AJ201" s="1">
        <f t="shared" si="170"/>
        <v>-0.21000710614016344</v>
      </c>
      <c r="AK201" s="262">
        <v>144740760</v>
      </c>
      <c r="AL201" s="1">
        <f t="shared" si="171"/>
        <v>0.167279038701968</v>
      </c>
      <c r="AM201" s="262">
        <v>166390921</v>
      </c>
      <c r="AN201" s="1">
        <f t="shared" si="172"/>
        <v>0.14957888158111093</v>
      </c>
      <c r="AO201" s="262">
        <v>187604190</v>
      </c>
      <c r="AP201" s="1">
        <f t="shared" si="157"/>
        <v>0.12749054378994631</v>
      </c>
    </row>
    <row r="202" spans="1:42" x14ac:dyDescent="0.2">
      <c r="A202" s="3" t="s">
        <v>221</v>
      </c>
      <c r="B202" s="320">
        <f t="shared" si="160"/>
        <v>-1.8512205892974505E-3</v>
      </c>
      <c r="C202" s="320"/>
      <c r="D202" s="5">
        <v>1111410837</v>
      </c>
      <c r="E202" s="5">
        <v>1252055718</v>
      </c>
      <c r="F202" s="1">
        <f t="shared" si="161"/>
        <v>0.12654625662967151</v>
      </c>
      <c r="G202" s="5">
        <v>1310501027</v>
      </c>
      <c r="H202" s="1">
        <f t="shared" si="173"/>
        <v>4.6679479323299571E-2</v>
      </c>
      <c r="I202" s="236">
        <v>1403599948</v>
      </c>
      <c r="J202" s="1">
        <f>SUM((I202-G202)/G202)</f>
        <v>7.1040708158102039E-2</v>
      </c>
      <c r="K202" s="5">
        <v>1372642165</v>
      </c>
      <c r="L202" s="1">
        <f>SUM((K202-I202)/I202)</f>
        <v>-2.2055987565482583E-2</v>
      </c>
      <c r="M202" s="5">
        <v>1518056847.3333333</v>
      </c>
      <c r="N202" s="1">
        <f>SUM((M202-K202)/K202)</f>
        <v>0.10593779357880447</v>
      </c>
      <c r="O202" s="5">
        <v>1588919260.5</v>
      </c>
      <c r="P202" s="1">
        <f>SUM((O202-M202)/M202)</f>
        <v>4.6679683498774042E-2</v>
      </c>
      <c r="Q202" s="5">
        <v>1760801221.000107</v>
      </c>
      <c r="R202" s="1">
        <f>SUM((Q202-O202)/O202)</f>
        <v>0.10817538988483238</v>
      </c>
      <c r="S202" s="236">
        <v>1930003755</v>
      </c>
      <c r="T202" s="1">
        <f>SUM((S202-Q202)/Q202)</f>
        <v>9.6094057626668727E-2</v>
      </c>
      <c r="U202" s="262">
        <v>2068808867</v>
      </c>
      <c r="V202" s="1">
        <f t="shared" si="164"/>
        <v>7.1919607223769361E-2</v>
      </c>
      <c r="W202" s="262">
        <v>2254163439.6738653</v>
      </c>
      <c r="X202" s="1">
        <f t="shared" si="165"/>
        <v>8.9594827067156671E-2</v>
      </c>
      <c r="Y202" s="262">
        <v>2739900812</v>
      </c>
      <c r="Z202" s="1">
        <f t="shared" si="165"/>
        <v>0.21548454019661131</v>
      </c>
      <c r="AA202" s="262">
        <v>3100184382</v>
      </c>
      <c r="AB202" s="1">
        <f t="shared" si="166"/>
        <v>0.13149511413773032</v>
      </c>
      <c r="AC202" s="262">
        <v>2673144515</v>
      </c>
      <c r="AD202" s="1">
        <f t="shared" si="167"/>
        <v>-0.13774660290511714</v>
      </c>
      <c r="AE202" s="262">
        <v>2354687859</v>
      </c>
      <c r="AF202" s="1">
        <f t="shared" si="168"/>
        <v>-0.11913185172482155</v>
      </c>
      <c r="AG202" s="262">
        <v>2115940100</v>
      </c>
      <c r="AH202" s="1">
        <f t="shared" si="169"/>
        <v>-0.10139252983679652</v>
      </c>
      <c r="AI202" s="262">
        <v>1844288158</v>
      </c>
      <c r="AJ202" s="1">
        <f t="shared" si="170"/>
        <v>-0.12838356908118523</v>
      </c>
      <c r="AK202" s="262">
        <v>1920776304</v>
      </c>
      <c r="AL202" s="1">
        <f t="shared" si="171"/>
        <v>4.1472990903409578E-2</v>
      </c>
      <c r="AM202" s="262">
        <v>2039805070</v>
      </c>
      <c r="AN202" s="1">
        <f t="shared" si="172"/>
        <v>6.1969093304682921E-2</v>
      </c>
      <c r="AO202" s="262">
        <v>2278621188</v>
      </c>
      <c r="AP202" s="1">
        <f t="shared" si="157"/>
        <v>0.11707791176340199</v>
      </c>
    </row>
    <row r="203" spans="1:42" x14ac:dyDescent="0.2">
      <c r="A203" s="3" t="s">
        <v>222</v>
      </c>
      <c r="B203" s="320">
        <f t="shared" si="160"/>
        <v>5.4183609930781626E-2</v>
      </c>
      <c r="C203" s="320"/>
      <c r="D203" s="5">
        <v>116774876</v>
      </c>
      <c r="E203" s="5">
        <v>126138987</v>
      </c>
      <c r="F203" s="1">
        <f t="shared" si="161"/>
        <v>8.0189432185738305E-2</v>
      </c>
      <c r="G203" s="5">
        <v>123562335</v>
      </c>
      <c r="H203" s="1">
        <f t="shared" si="173"/>
        <v>-2.0427086512118574E-2</v>
      </c>
      <c r="I203" s="236">
        <v>144527811</v>
      </c>
      <c r="J203" s="1">
        <f>SUM((I203-G203)/G203)</f>
        <v>0.16967529789721114</v>
      </c>
      <c r="K203" s="5">
        <v>167561705</v>
      </c>
      <c r="L203" s="1">
        <f>SUM((K203-I203)/I203)</f>
        <v>0.15937343713038041</v>
      </c>
      <c r="M203" s="5">
        <v>172773922.66666666</v>
      </c>
      <c r="N203" s="1">
        <f>SUM((M203-K203)/K203)</f>
        <v>3.1106258238818092E-2</v>
      </c>
      <c r="O203" s="5">
        <v>185320133.33333334</v>
      </c>
      <c r="P203" s="1">
        <f>SUM((O203-M203)/M203)</f>
        <v>7.2616344370858191E-2</v>
      </c>
      <c r="Q203" s="5">
        <v>201055618.00007948</v>
      </c>
      <c r="R203" s="1">
        <f>SUM((Q203-O203)/O203)</f>
        <v>8.4909741773404032E-2</v>
      </c>
      <c r="S203" s="236">
        <v>265302661</v>
      </c>
      <c r="T203" s="1">
        <f>SUM((S203-Q203)/Q203)</f>
        <v>0.31954860868346946</v>
      </c>
      <c r="U203" s="262">
        <v>336875040</v>
      </c>
      <c r="V203" s="1">
        <f t="shared" si="164"/>
        <v>0.26977633292566183</v>
      </c>
      <c r="W203" s="262">
        <v>497897914.0308333</v>
      </c>
      <c r="X203" s="1">
        <f t="shared" si="165"/>
        <v>0.47798992181443095</v>
      </c>
      <c r="Y203" s="262">
        <v>555059330</v>
      </c>
      <c r="Z203" s="1">
        <f t="shared" si="165"/>
        <v>0.11480549397446735</v>
      </c>
      <c r="AA203" s="262">
        <v>684022052</v>
      </c>
      <c r="AB203" s="1">
        <f t="shared" si="166"/>
        <v>0.23234042746385328</v>
      </c>
      <c r="AC203" s="262">
        <v>508211801</v>
      </c>
      <c r="AD203" s="1">
        <f t="shared" si="167"/>
        <v>-0.25702424430024079</v>
      </c>
      <c r="AE203" s="262">
        <v>474544982</v>
      </c>
      <c r="AF203" s="1">
        <f t="shared" si="168"/>
        <v>-6.6245645877868936E-2</v>
      </c>
      <c r="AG203" s="262">
        <v>448986930</v>
      </c>
      <c r="AH203" s="1">
        <f t="shared" si="169"/>
        <v>-5.3858017615704135E-2</v>
      </c>
      <c r="AI203" s="262">
        <v>574880229</v>
      </c>
      <c r="AJ203" s="1">
        <f t="shared" si="170"/>
        <v>0.28039412862196234</v>
      </c>
      <c r="AK203" s="262">
        <v>437293354</v>
      </c>
      <c r="AL203" s="1">
        <f t="shared" si="171"/>
        <v>-0.23933137383995859</v>
      </c>
      <c r="AM203" s="262">
        <v>502708129</v>
      </c>
      <c r="AN203" s="1">
        <f t="shared" si="172"/>
        <v>0.14959014218176295</v>
      </c>
      <c r="AO203" s="262">
        <v>570132937</v>
      </c>
      <c r="AP203" s="1">
        <f t="shared" si="157"/>
        <v>0.13412317030584561</v>
      </c>
    </row>
    <row r="204" spans="1:42" x14ac:dyDescent="0.2">
      <c r="B204" s="320"/>
      <c r="C204" s="320"/>
      <c r="D204" s="5"/>
      <c r="F204" s="5"/>
      <c r="J204" s="1"/>
      <c r="L204" s="1"/>
      <c r="N204" s="1"/>
      <c r="P204" s="1"/>
      <c r="R204" s="1"/>
      <c r="T204" s="1"/>
      <c r="V204" s="1"/>
      <c r="X204" s="1"/>
      <c r="Z204" s="1"/>
      <c r="AB204" s="1"/>
      <c r="AD204" s="1"/>
      <c r="AF204" s="1"/>
      <c r="AH204" s="1"/>
      <c r="AJ204" s="1"/>
      <c r="AL204" s="1"/>
      <c r="AN204" s="1"/>
      <c r="AO204" s="262"/>
      <c r="AP204" s="1"/>
    </row>
    <row r="205" spans="1:42" x14ac:dyDescent="0.2">
      <c r="B205" s="320"/>
      <c r="C205" s="320"/>
      <c r="D205" s="5"/>
      <c r="F205" s="5"/>
      <c r="J205" s="1"/>
      <c r="L205" s="1"/>
      <c r="N205" s="1"/>
      <c r="P205" s="1"/>
      <c r="R205" s="1"/>
      <c r="T205" s="1"/>
      <c r="V205" s="1"/>
      <c r="X205" s="1"/>
      <c r="Z205" s="1"/>
      <c r="AB205" s="1"/>
      <c r="AD205" s="1"/>
      <c r="AF205" s="1"/>
      <c r="AH205" s="1"/>
      <c r="AJ205" s="1"/>
      <c r="AL205" s="1"/>
      <c r="AN205" s="1"/>
      <c r="AO205" s="262"/>
      <c r="AP205" s="1"/>
    </row>
    <row r="206" spans="1:42" x14ac:dyDescent="0.2">
      <c r="B206" s="320"/>
      <c r="C206" s="320"/>
      <c r="D206" s="5"/>
      <c r="F206" s="5"/>
      <c r="J206" s="1"/>
      <c r="L206" s="1"/>
      <c r="N206" s="1"/>
      <c r="P206" s="1"/>
      <c r="R206" s="1"/>
      <c r="T206" s="1"/>
      <c r="V206" s="1"/>
      <c r="X206" s="1"/>
      <c r="Z206" s="1"/>
      <c r="AB206" s="1"/>
      <c r="AD206" s="1"/>
      <c r="AF206" s="1"/>
      <c r="AH206" s="1"/>
      <c r="AJ206" s="1"/>
      <c r="AL206" s="1"/>
      <c r="AN206" s="1"/>
      <c r="AO206" s="262"/>
      <c r="AP206" s="1"/>
    </row>
    <row r="207" spans="1:42" x14ac:dyDescent="0.2">
      <c r="A207" s="3" t="s">
        <v>223</v>
      </c>
      <c r="B207" s="320">
        <f t="shared" ref="B207:B212" si="174">SUM((AL207+AN207+AP207+AJ207+AH207)/5)</f>
        <v>0.14678130329825601</v>
      </c>
      <c r="C207" s="320">
        <f>[1]Population!O197</f>
        <v>1.326711288106136E-2</v>
      </c>
      <c r="D207" s="5">
        <v>207639778</v>
      </c>
      <c r="E207" s="5">
        <v>203179971</v>
      </c>
      <c r="F207" s="1">
        <f t="shared" ref="F207:F212" si="175">SUM((E207-D207)/D207)</f>
        <v>-2.1478577192468391E-2</v>
      </c>
      <c r="G207" s="5">
        <v>172444183</v>
      </c>
      <c r="H207" s="1">
        <f t="shared" ref="H207:H212" si="176">SUM((G207-E207)/E207)</f>
        <v>-0.15127370994653799</v>
      </c>
      <c r="I207" s="236">
        <v>173614033</v>
      </c>
      <c r="J207" s="1">
        <f t="shared" ref="J207:J212" si="177">SUM((I207-G207)/G207)</f>
        <v>6.7839342542508375E-3</v>
      </c>
      <c r="K207" s="5">
        <v>140716000</v>
      </c>
      <c r="L207" s="1">
        <f t="shared" ref="L207:L212" si="178">SUM((K207-I207)/I207)</f>
        <v>-0.18948948095687634</v>
      </c>
      <c r="M207" s="5">
        <v>129338787.66666667</v>
      </c>
      <c r="N207" s="1">
        <f t="shared" ref="N207:T212" si="179">SUM((M207-K207)/K207)</f>
        <v>-8.0852300614950176E-2</v>
      </c>
      <c r="O207" s="5">
        <v>123152460</v>
      </c>
      <c r="P207" s="1">
        <f t="shared" si="179"/>
        <v>-4.7830413275638105E-2</v>
      </c>
      <c r="Q207" s="5">
        <v>121929629.00000989</v>
      </c>
      <c r="R207" s="1">
        <f t="shared" si="179"/>
        <v>-9.9294078249846218E-3</v>
      </c>
      <c r="S207" s="236">
        <v>119107946</v>
      </c>
      <c r="T207" s="1">
        <f t="shared" si="179"/>
        <v>-2.3141897692558921E-2</v>
      </c>
      <c r="U207" s="262">
        <v>127851808</v>
      </c>
      <c r="V207" s="1">
        <f t="shared" ref="V207:V212" si="180">SUM((U207-S207)/S207)</f>
        <v>7.341123991845179E-2</v>
      </c>
      <c r="W207" s="262">
        <v>155740743</v>
      </c>
      <c r="X207" s="1">
        <f t="shared" ref="X207:Z212" si="181">SUM((W207-U207)/U207)</f>
        <v>0.21813485031044691</v>
      </c>
      <c r="Y207" s="262">
        <v>189996451</v>
      </c>
      <c r="Z207" s="1">
        <f t="shared" si="181"/>
        <v>0.21995341321827391</v>
      </c>
      <c r="AA207" s="262">
        <v>198727492</v>
      </c>
      <c r="AB207" s="1">
        <f t="shared" ref="AB207:AB212" si="182">SUM((AA207-Y207)/Y207)</f>
        <v>4.5953705735271869E-2</v>
      </c>
      <c r="AC207" s="262">
        <v>219227193</v>
      </c>
      <c r="AD207" s="1">
        <f t="shared" ref="AD207:AD212" si="183">SUM((AC207-AA207)/AA207)</f>
        <v>0.10315483174315912</v>
      </c>
      <c r="AE207" s="262">
        <v>224990773</v>
      </c>
      <c r="AF207" s="1">
        <f t="shared" ref="AF207:AF212" si="184">SUM((AE207-AC207)/AC207)</f>
        <v>2.6290442901396816E-2</v>
      </c>
      <c r="AG207" s="262">
        <v>225257596</v>
      </c>
      <c r="AH207" s="1">
        <f t="shared" ref="AH207:AH212" si="185">SUM((AG207-AE207)/AE207)</f>
        <v>1.185928633615566E-3</v>
      </c>
      <c r="AI207" s="262">
        <v>323886788</v>
      </c>
      <c r="AJ207" s="1">
        <f t="shared" ref="AJ207:AJ212" si="186">SUM((AI207-AG207)/AG207)</f>
        <v>0.43785068184781656</v>
      </c>
      <c r="AK207" s="262">
        <v>388748225</v>
      </c>
      <c r="AL207" s="1">
        <f t="shared" ref="AL207:AL212" si="187">SUM((AK207-AI207)/AI207)</f>
        <v>0.20025959502861845</v>
      </c>
      <c r="AM207" s="262">
        <v>421683728</v>
      </c>
      <c r="AN207" s="1">
        <f t="shared" ref="AN207:AN212" si="188">SUM((AM207-AK207)/AK207)</f>
        <v>8.4721937958687779E-2</v>
      </c>
      <c r="AO207" s="262">
        <v>425853494</v>
      </c>
      <c r="AP207" s="1">
        <f t="shared" si="157"/>
        <v>9.8883730225416706E-3</v>
      </c>
    </row>
    <row r="208" spans="1:42" x14ac:dyDescent="0.2">
      <c r="A208" s="3" t="s">
        <v>224</v>
      </c>
      <c r="B208" s="320">
        <f t="shared" si="174"/>
        <v>1.1054497026396574E-2</v>
      </c>
      <c r="C208" s="320">
        <f>[1]Population!O198</f>
        <v>1.6394985748527397E-2</v>
      </c>
      <c r="D208" s="5">
        <v>39768025</v>
      </c>
      <c r="E208" s="5">
        <v>40285447</v>
      </c>
      <c r="F208" s="1">
        <f t="shared" si="175"/>
        <v>1.3011005701188329E-2</v>
      </c>
      <c r="G208" s="5">
        <v>42172790</v>
      </c>
      <c r="H208" s="1">
        <f t="shared" si="176"/>
        <v>4.6849250549460209E-2</v>
      </c>
      <c r="I208" s="236">
        <v>44358973</v>
      </c>
      <c r="J208" s="1">
        <f t="shared" si="177"/>
        <v>5.1838709272021131E-2</v>
      </c>
      <c r="K208" s="5">
        <v>44002900</v>
      </c>
      <c r="L208" s="1">
        <f t="shared" si="178"/>
        <v>-8.0270794366677518E-3</v>
      </c>
      <c r="M208" s="5">
        <v>44063631</v>
      </c>
      <c r="N208" s="1">
        <f t="shared" si="179"/>
        <v>1.380159034972695E-3</v>
      </c>
      <c r="O208" s="5">
        <v>44407973</v>
      </c>
      <c r="P208" s="1">
        <f t="shared" si="179"/>
        <v>7.8146533135228912E-3</v>
      </c>
      <c r="Q208" s="5">
        <v>44381062.000002399</v>
      </c>
      <c r="R208" s="1">
        <f t="shared" si="179"/>
        <v>-6.0599478381057634E-4</v>
      </c>
      <c r="S208" s="236">
        <v>45877189</v>
      </c>
      <c r="T208" s="1">
        <f t="shared" si="179"/>
        <v>3.3710932829807451E-2</v>
      </c>
      <c r="U208" s="262">
        <v>48438897</v>
      </c>
      <c r="V208" s="1">
        <f t="shared" si="180"/>
        <v>5.5838381902605233E-2</v>
      </c>
      <c r="W208" s="262">
        <v>50455107</v>
      </c>
      <c r="X208" s="1">
        <f t="shared" si="181"/>
        <v>4.1623780161633324E-2</v>
      </c>
      <c r="Y208" s="262">
        <v>63682271</v>
      </c>
      <c r="Z208" s="1">
        <f t="shared" si="181"/>
        <v>0.26215708946965466</v>
      </c>
      <c r="AA208" s="262">
        <v>56633193</v>
      </c>
      <c r="AB208" s="1">
        <f t="shared" si="182"/>
        <v>-0.11069137279981739</v>
      </c>
      <c r="AC208" s="262">
        <v>60748917</v>
      </c>
      <c r="AD208" s="1">
        <f t="shared" si="183"/>
        <v>7.2673352533734054E-2</v>
      </c>
      <c r="AE208" s="262">
        <v>60308325</v>
      </c>
      <c r="AF208" s="1">
        <f t="shared" si="184"/>
        <v>-7.2526725044332885E-3</v>
      </c>
      <c r="AG208" s="262">
        <v>59687087</v>
      </c>
      <c r="AH208" s="1">
        <f t="shared" si="185"/>
        <v>-1.030103223725746E-2</v>
      </c>
      <c r="AI208" s="262">
        <v>66840221</v>
      </c>
      <c r="AJ208" s="1">
        <f t="shared" si="186"/>
        <v>0.11984391196708929</v>
      </c>
      <c r="AK208" s="262">
        <v>60705678</v>
      </c>
      <c r="AL208" s="1">
        <f t="shared" si="187"/>
        <v>-9.177921479344002E-2</v>
      </c>
      <c r="AM208" s="262">
        <v>67435397</v>
      </c>
      <c r="AN208" s="1">
        <f t="shared" si="188"/>
        <v>0.11085814740426753</v>
      </c>
      <c r="AO208" s="262">
        <v>62489056</v>
      </c>
      <c r="AP208" s="1">
        <f t="shared" si="157"/>
        <v>-7.3349327208676471E-2</v>
      </c>
    </row>
    <row r="209" spans="1:42" x14ac:dyDescent="0.2">
      <c r="A209" s="3" t="s">
        <v>225</v>
      </c>
      <c r="B209" s="320">
        <f t="shared" si="174"/>
        <v>6.623488190463224E-2</v>
      </c>
      <c r="C209" s="320">
        <f>[1]Population!O199</f>
        <v>1.5274032087990611E-2</v>
      </c>
      <c r="D209" s="5">
        <v>1345127</v>
      </c>
      <c r="E209" s="5">
        <v>1347475</v>
      </c>
      <c r="F209" s="1">
        <f t="shared" si="175"/>
        <v>1.7455600846611509E-3</v>
      </c>
      <c r="G209" s="5">
        <v>1337315</v>
      </c>
      <c r="H209" s="1">
        <f t="shared" si="176"/>
        <v>-7.5400285719586634E-3</v>
      </c>
      <c r="I209" s="236">
        <v>1410143</v>
      </c>
      <c r="J209" s="1">
        <f t="shared" si="177"/>
        <v>5.4458373681593342E-2</v>
      </c>
      <c r="K209" s="5">
        <v>1384664</v>
      </c>
      <c r="L209" s="1">
        <f t="shared" si="178"/>
        <v>-1.8068380299019318E-2</v>
      </c>
      <c r="M209" s="5">
        <v>1380990.3333333333</v>
      </c>
      <c r="N209" s="1">
        <f t="shared" si="179"/>
        <v>-2.6531105500444472E-3</v>
      </c>
      <c r="O209" s="5">
        <v>1366761</v>
      </c>
      <c r="P209" s="1">
        <f t="shared" si="179"/>
        <v>-1.0303716825437535E-2</v>
      </c>
      <c r="Q209" s="5">
        <v>1373451.6666691669</v>
      </c>
      <c r="R209" s="1">
        <f t="shared" si="179"/>
        <v>4.8952718647714416E-3</v>
      </c>
      <c r="S209" s="236">
        <v>1375362</v>
      </c>
      <c r="T209" s="1">
        <f t="shared" si="179"/>
        <v>1.3908995687237939E-3</v>
      </c>
      <c r="U209" s="262">
        <v>1382897</v>
      </c>
      <c r="V209" s="1">
        <f t="shared" si="180"/>
        <v>5.4785576451872311E-3</v>
      </c>
      <c r="W209" s="262">
        <v>1580525</v>
      </c>
      <c r="X209" s="1">
        <f t="shared" si="181"/>
        <v>0.14290869095818415</v>
      </c>
      <c r="Y209" s="262">
        <v>1709254</v>
      </c>
      <c r="Z209" s="1">
        <f t="shared" si="181"/>
        <v>8.1446987551604691E-2</v>
      </c>
      <c r="AA209" s="262">
        <v>1871043</v>
      </c>
      <c r="AB209" s="1">
        <f t="shared" si="182"/>
        <v>9.4654744116439107E-2</v>
      </c>
      <c r="AC209" s="262">
        <v>1893043</v>
      </c>
      <c r="AD209" s="1">
        <f t="shared" si="183"/>
        <v>1.1758147728299136E-2</v>
      </c>
      <c r="AE209" s="262">
        <v>1893462</v>
      </c>
      <c r="AF209" s="1">
        <f t="shared" si="184"/>
        <v>2.2133675780212071E-4</v>
      </c>
      <c r="AG209" s="262">
        <v>1935907</v>
      </c>
      <c r="AH209" s="1">
        <f t="shared" si="185"/>
        <v>2.2416610420489029E-2</v>
      </c>
      <c r="AI209" s="262">
        <v>1993543</v>
      </c>
      <c r="AJ209" s="1">
        <f t="shared" si="186"/>
        <v>2.9772091324634913E-2</v>
      </c>
      <c r="AK209" s="262">
        <v>1968150</v>
      </c>
      <c r="AL209" s="1">
        <f t="shared" si="187"/>
        <v>-1.2737623417202438E-2</v>
      </c>
      <c r="AM209" s="262">
        <v>3013709</v>
      </c>
      <c r="AN209" s="1">
        <f t="shared" si="188"/>
        <v>0.53123948886009709</v>
      </c>
      <c r="AO209" s="262">
        <v>2291877</v>
      </c>
      <c r="AP209" s="1">
        <f t="shared" si="157"/>
        <v>-0.23951615766485748</v>
      </c>
    </row>
    <row r="210" spans="1:42" x14ac:dyDescent="0.2">
      <c r="A210" s="3" t="s">
        <v>226</v>
      </c>
      <c r="B210" s="320">
        <f t="shared" si="174"/>
        <v>3.6544942079785522E-2</v>
      </c>
      <c r="C210" s="320">
        <f>[1]Population!O200</f>
        <v>5.724277919168518E-3</v>
      </c>
      <c r="D210" s="5">
        <v>4696345</v>
      </c>
      <c r="E210" s="5">
        <v>4893509</v>
      </c>
      <c r="F210" s="1">
        <f t="shared" si="175"/>
        <v>4.1982435276795037E-2</v>
      </c>
      <c r="G210" s="5">
        <v>4854722</v>
      </c>
      <c r="H210" s="1">
        <f t="shared" si="176"/>
        <v>-7.9262140929954351E-3</v>
      </c>
      <c r="I210" s="236">
        <v>4966910</v>
      </c>
      <c r="J210" s="1">
        <f t="shared" si="177"/>
        <v>2.3109047232776667E-2</v>
      </c>
      <c r="K210" s="5">
        <v>4973139</v>
      </c>
      <c r="L210" s="1">
        <f t="shared" si="178"/>
        <v>1.2540996313603428E-3</v>
      </c>
      <c r="M210" s="5">
        <v>5276943.333333333</v>
      </c>
      <c r="N210" s="1">
        <f t="shared" si="179"/>
        <v>6.1089049257085519E-2</v>
      </c>
      <c r="O210" s="5">
        <v>5254034</v>
      </c>
      <c r="P210" s="1">
        <f t="shared" si="179"/>
        <v>-4.3414021880090348E-3</v>
      </c>
      <c r="Q210" s="5">
        <v>5326829.0000024997</v>
      </c>
      <c r="R210" s="1">
        <f t="shared" si="179"/>
        <v>1.3855068315602768E-2</v>
      </c>
      <c r="S210" s="236">
        <v>5339836</v>
      </c>
      <c r="T210" s="1">
        <f t="shared" si="179"/>
        <v>2.4417904155538362E-3</v>
      </c>
      <c r="U210" s="262">
        <v>5401214</v>
      </c>
      <c r="V210" s="1">
        <f t="shared" si="180"/>
        <v>1.1494360500959205E-2</v>
      </c>
      <c r="W210" s="262">
        <v>6168860</v>
      </c>
      <c r="X210" s="1">
        <f t="shared" si="181"/>
        <v>0.14212471492520015</v>
      </c>
      <c r="Y210" s="262">
        <v>6852447</v>
      </c>
      <c r="Z210" s="1">
        <f t="shared" si="181"/>
        <v>0.11081253262353175</v>
      </c>
      <c r="AA210" s="262">
        <v>7148688</v>
      </c>
      <c r="AB210" s="1">
        <f t="shared" si="182"/>
        <v>4.3231417915381175E-2</v>
      </c>
      <c r="AC210" s="262">
        <v>7381953</v>
      </c>
      <c r="AD210" s="1">
        <f t="shared" si="183"/>
        <v>3.2630463100361912E-2</v>
      </c>
      <c r="AE210" s="262">
        <v>7325907</v>
      </c>
      <c r="AF210" s="1">
        <f t="shared" si="184"/>
        <v>-7.592299761323325E-3</v>
      </c>
      <c r="AG210" s="262">
        <v>7501723</v>
      </c>
      <c r="AH210" s="1">
        <f t="shared" si="185"/>
        <v>2.3999212657217734E-2</v>
      </c>
      <c r="AI210" s="262">
        <v>7941666</v>
      </c>
      <c r="AJ210" s="1">
        <f t="shared" si="186"/>
        <v>5.8645593818913336E-2</v>
      </c>
      <c r="AK210" s="262">
        <v>8500699</v>
      </c>
      <c r="AL210" s="1">
        <f t="shared" si="187"/>
        <v>7.0392408847211652E-2</v>
      </c>
      <c r="AM210" s="262">
        <v>9767455</v>
      </c>
      <c r="AN210" s="1">
        <f t="shared" si="188"/>
        <v>0.14901786311925644</v>
      </c>
      <c r="AO210" s="262">
        <v>8601901</v>
      </c>
      <c r="AP210" s="1">
        <f t="shared" si="157"/>
        <v>-0.11933036804367156</v>
      </c>
    </row>
    <row r="211" spans="1:42" x14ac:dyDescent="0.2">
      <c r="A211" s="3" t="s">
        <v>227</v>
      </c>
      <c r="B211" s="320">
        <f t="shared" si="174"/>
        <v>1.513738696774351E-2</v>
      </c>
      <c r="C211" s="320">
        <f>[1]Population!O201</f>
        <v>1.3424660000186033E-2</v>
      </c>
      <c r="D211" s="5">
        <v>1562524</v>
      </c>
      <c r="E211" s="5">
        <v>1716841</v>
      </c>
      <c r="F211" s="1">
        <f t="shared" si="175"/>
        <v>9.8761363025463927E-2</v>
      </c>
      <c r="G211" s="5">
        <v>1727127</v>
      </c>
      <c r="H211" s="1">
        <f t="shared" si="176"/>
        <v>5.9912362297964688E-3</v>
      </c>
      <c r="I211" s="236">
        <v>1740079</v>
      </c>
      <c r="J211" s="1">
        <f t="shared" si="177"/>
        <v>7.4991590079942008E-3</v>
      </c>
      <c r="K211" s="5">
        <v>1822567</v>
      </c>
      <c r="L211" s="1">
        <f t="shared" si="178"/>
        <v>4.7404744267357975E-2</v>
      </c>
      <c r="M211" s="5">
        <v>1748080.3333333333</v>
      </c>
      <c r="N211" s="1">
        <f t="shared" si="179"/>
        <v>-4.0869096536185909E-2</v>
      </c>
      <c r="O211" s="5">
        <v>1806320</v>
      </c>
      <c r="P211" s="1">
        <f t="shared" si="179"/>
        <v>3.3316355979826295E-2</v>
      </c>
      <c r="Q211" s="5">
        <v>1811529.6666691666</v>
      </c>
      <c r="R211" s="1">
        <f t="shared" si="179"/>
        <v>2.8841327501033299E-3</v>
      </c>
      <c r="S211" s="236">
        <v>1821490</v>
      </c>
      <c r="T211" s="1">
        <f t="shared" si="179"/>
        <v>5.4982998700469935E-3</v>
      </c>
      <c r="U211" s="262">
        <v>1909089</v>
      </c>
      <c r="V211" s="1">
        <f t="shared" si="180"/>
        <v>4.8091946702973939E-2</v>
      </c>
      <c r="W211" s="262">
        <v>1934503</v>
      </c>
      <c r="X211" s="1">
        <f t="shared" si="181"/>
        <v>1.3312108550203788E-2</v>
      </c>
      <c r="Y211" s="262">
        <v>1809339</v>
      </c>
      <c r="Z211" s="1">
        <f t="shared" si="181"/>
        <v>-6.4700855982130809E-2</v>
      </c>
      <c r="AA211" s="262">
        <v>1990413</v>
      </c>
      <c r="AB211" s="1">
        <f t="shared" si="182"/>
        <v>0.10007743159242131</v>
      </c>
      <c r="AC211" s="262">
        <v>2758728</v>
      </c>
      <c r="AD211" s="1">
        <f t="shared" si="183"/>
        <v>0.3860078285260396</v>
      </c>
      <c r="AE211" s="262">
        <v>3114970</v>
      </c>
      <c r="AF211" s="1">
        <f t="shared" si="184"/>
        <v>0.12913270173790239</v>
      </c>
      <c r="AG211" s="262">
        <v>2957922</v>
      </c>
      <c r="AH211" s="1">
        <f t="shared" si="185"/>
        <v>-5.0417178977646658E-2</v>
      </c>
      <c r="AI211" s="262">
        <v>3188516</v>
      </c>
      <c r="AJ211" s="1">
        <f t="shared" si="186"/>
        <v>7.7958107076521968E-2</v>
      </c>
      <c r="AK211" s="262">
        <v>3235619</v>
      </c>
      <c r="AL211" s="1">
        <f t="shared" si="187"/>
        <v>1.4772703038027721E-2</v>
      </c>
      <c r="AM211" s="262">
        <v>3624137</v>
      </c>
      <c r="AN211" s="1">
        <f t="shared" si="188"/>
        <v>0.12007532407245723</v>
      </c>
      <c r="AO211" s="262">
        <v>3309917</v>
      </c>
      <c r="AP211" s="1">
        <f t="shared" si="157"/>
        <v>-8.6702020370642716E-2</v>
      </c>
    </row>
    <row r="212" spans="1:42" x14ac:dyDescent="0.2">
      <c r="A212" s="3" t="s">
        <v>228</v>
      </c>
      <c r="B212" s="320">
        <f t="shared" si="174"/>
        <v>0.14678130329825601</v>
      </c>
      <c r="C212" s="320"/>
      <c r="D212" s="5">
        <v>207639778</v>
      </c>
      <c r="E212" s="5">
        <v>203179971</v>
      </c>
      <c r="F212" s="1">
        <f t="shared" si="175"/>
        <v>-2.1478577192468391E-2</v>
      </c>
      <c r="G212" s="5">
        <v>172444183</v>
      </c>
      <c r="H212" s="1">
        <f t="shared" si="176"/>
        <v>-0.15127370994653799</v>
      </c>
      <c r="I212" s="236">
        <v>173614033</v>
      </c>
      <c r="J212" s="1">
        <f t="shared" si="177"/>
        <v>6.7839342542508375E-3</v>
      </c>
      <c r="K212" s="5">
        <v>140716000</v>
      </c>
      <c r="L212" s="1">
        <f t="shared" si="178"/>
        <v>-0.18948948095687634</v>
      </c>
      <c r="M212" s="5">
        <v>129338787.66666667</v>
      </c>
      <c r="N212" s="1">
        <f t="shared" si="179"/>
        <v>-8.0852300614950176E-2</v>
      </c>
      <c r="O212" s="5">
        <v>123152460</v>
      </c>
      <c r="P212" s="1">
        <f t="shared" si="179"/>
        <v>-4.7830413275638105E-2</v>
      </c>
      <c r="Q212" s="5">
        <v>121929629.00000989</v>
      </c>
      <c r="R212" s="1">
        <f t="shared" si="179"/>
        <v>-9.9294078249846218E-3</v>
      </c>
      <c r="S212" s="236">
        <v>119107946</v>
      </c>
      <c r="T212" s="1">
        <f t="shared" si="179"/>
        <v>-2.3141897692558921E-2</v>
      </c>
      <c r="U212" s="262">
        <v>127851808</v>
      </c>
      <c r="V212" s="1">
        <f t="shared" si="180"/>
        <v>7.341123991845179E-2</v>
      </c>
      <c r="W212" s="262">
        <v>155740743</v>
      </c>
      <c r="X212" s="1">
        <f t="shared" si="181"/>
        <v>0.21813485031044691</v>
      </c>
      <c r="Y212" s="262">
        <v>189996451</v>
      </c>
      <c r="Z212" s="1">
        <f t="shared" si="181"/>
        <v>0.21995341321827391</v>
      </c>
      <c r="AA212" s="262">
        <v>198727492</v>
      </c>
      <c r="AB212" s="1">
        <f t="shared" si="182"/>
        <v>4.5953705735271869E-2</v>
      </c>
      <c r="AC212" s="262">
        <v>219227193</v>
      </c>
      <c r="AD212" s="1">
        <f t="shared" si="183"/>
        <v>0.10315483174315912</v>
      </c>
      <c r="AE212" s="262">
        <v>224990773</v>
      </c>
      <c r="AF212" s="1">
        <f t="shared" si="184"/>
        <v>2.6290442901396816E-2</v>
      </c>
      <c r="AG212" s="262">
        <v>225257596</v>
      </c>
      <c r="AH212" s="1">
        <f t="shared" si="185"/>
        <v>1.185928633615566E-3</v>
      </c>
      <c r="AI212" s="262">
        <v>323886788</v>
      </c>
      <c r="AJ212" s="1">
        <f t="shared" si="186"/>
        <v>0.43785068184781656</v>
      </c>
      <c r="AK212" s="262">
        <v>388748225</v>
      </c>
      <c r="AL212" s="1">
        <f t="shared" si="187"/>
        <v>0.20025959502861845</v>
      </c>
      <c r="AM212" s="262">
        <v>421683728</v>
      </c>
      <c r="AN212" s="1">
        <f t="shared" si="188"/>
        <v>8.4721937958687779E-2</v>
      </c>
      <c r="AO212" s="262">
        <v>425853494</v>
      </c>
      <c r="AP212" s="1">
        <f t="shared" si="157"/>
        <v>9.8883730225416706E-3</v>
      </c>
    </row>
    <row r="213" spans="1:42" x14ac:dyDescent="0.2">
      <c r="C213" s="320"/>
      <c r="D213" s="5"/>
      <c r="F213" s="5"/>
    </row>
    <row r="214" spans="1:42" x14ac:dyDescent="0.2">
      <c r="C214" s="320"/>
      <c r="D214" s="5"/>
      <c r="F214" s="5"/>
    </row>
    <row r="215" spans="1:42" x14ac:dyDescent="0.2">
      <c r="C215" s="320"/>
      <c r="D215" s="5"/>
      <c r="F215" s="5"/>
    </row>
    <row r="216" spans="1:42" x14ac:dyDescent="0.2">
      <c r="C216" s="320"/>
      <c r="D216" s="5"/>
      <c r="F216" s="5"/>
    </row>
    <row r="217" spans="1:42" x14ac:dyDescent="0.2">
      <c r="C217" s="320"/>
      <c r="D217" s="5"/>
      <c r="F217" s="5"/>
    </row>
    <row r="218" spans="1:42" x14ac:dyDescent="0.2">
      <c r="C218" s="320"/>
      <c r="D218" s="5"/>
      <c r="F218" s="5"/>
    </row>
    <row r="219" spans="1:42" x14ac:dyDescent="0.2">
      <c r="C219" s="320"/>
      <c r="D219" s="5"/>
      <c r="F219" s="5"/>
    </row>
    <row r="220" spans="1:42" x14ac:dyDescent="0.2">
      <c r="D220" s="5"/>
      <c r="F220" s="5"/>
    </row>
    <row r="221" spans="1:42" ht="12.75" x14ac:dyDescent="0.2">
      <c r="A221" s="16"/>
      <c r="B221" s="18"/>
      <c r="D221" s="5"/>
      <c r="F221" s="5"/>
    </row>
  </sheetData>
  <phoneticPr fontId="0" type="noConversion"/>
  <printOptions horizontalCentered="1" verticalCentered="1"/>
  <pageMargins left="0.75" right="0.75" top="1" bottom="1" header="0.5" footer="0.5"/>
  <pageSetup scale="66" firstPageNumber="50" fitToHeight="5" orientation="landscape" useFirstPageNumber="1" r:id="rId1"/>
  <headerFooter alignWithMargins="0">
    <oddHeader>&amp;CASSESSED VALUATION 
 &amp;A</oddHeader>
    <oddFooter>&amp;LADMINISTRATIVE SERVICES DIVISION, 3/15/15
&amp;RD-&amp;P</oddFooter>
  </headerFooter>
  <rowBreaks count="4" manualBreakCount="4">
    <brk id="49" max="41" man="1"/>
    <brk id="96" max="41" man="1"/>
    <brk id="141" max="41" man="1"/>
    <brk id="187" max="41" man="1"/>
  </row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E332"/>
  <sheetViews>
    <sheetView topLeftCell="A252" zoomScaleNormal="100" workbookViewId="0">
      <selection activeCell="O21" sqref="O21"/>
    </sheetView>
  </sheetViews>
  <sheetFormatPr defaultRowHeight="12.75" x14ac:dyDescent="0.2"/>
  <cols>
    <col min="1" max="1" width="36.7109375" style="3" customWidth="1"/>
    <col min="2" max="2" width="21.7109375" style="344" bestFit="1" customWidth="1"/>
    <col min="3" max="3" width="10.7109375" style="3" bestFit="1" customWidth="1"/>
    <col min="4" max="4" width="21.42578125" style="304" bestFit="1" customWidth="1"/>
    <col min="5" max="5" width="15.7109375" bestFit="1" customWidth="1"/>
  </cols>
  <sheetData>
    <row r="1" spans="1:5" x14ac:dyDescent="0.2">
      <c r="C1" s="241"/>
    </row>
    <row r="2" spans="1:5" x14ac:dyDescent="0.2">
      <c r="C2" s="241"/>
    </row>
    <row r="3" spans="1:5" x14ac:dyDescent="0.2">
      <c r="A3" s="2"/>
      <c r="B3" s="315"/>
      <c r="C3" s="242"/>
    </row>
    <row r="4" spans="1:5" x14ac:dyDescent="0.2">
      <c r="B4" s="345" t="s">
        <v>406</v>
      </c>
      <c r="C4" s="314" t="s">
        <v>533</v>
      </c>
      <c r="D4" s="314" t="s">
        <v>557</v>
      </c>
      <c r="E4" s="345" t="s">
        <v>557</v>
      </c>
    </row>
    <row r="5" spans="1:5" x14ac:dyDescent="0.2">
      <c r="B5" s="345" t="s">
        <v>533</v>
      </c>
      <c r="C5" s="315" t="s">
        <v>400</v>
      </c>
      <c r="D5" s="316" t="s">
        <v>46</v>
      </c>
      <c r="E5" s="361" t="s">
        <v>539</v>
      </c>
    </row>
    <row r="6" spans="1:5" x14ac:dyDescent="0.2">
      <c r="B6" s="346" t="s">
        <v>324</v>
      </c>
      <c r="C6" s="305">
        <v>1.6E-2</v>
      </c>
      <c r="D6" s="141" t="s">
        <v>324</v>
      </c>
      <c r="E6" s="112" t="s">
        <v>324</v>
      </c>
    </row>
    <row r="8" spans="1:5" x14ac:dyDescent="0.2">
      <c r="A8" s="39" t="s">
        <v>229</v>
      </c>
      <c r="C8" s="317"/>
    </row>
    <row r="9" spans="1:5" x14ac:dyDescent="0.2">
      <c r="A9" s="38" t="s">
        <v>6</v>
      </c>
      <c r="B9" s="347">
        <v>21764318.046456777</v>
      </c>
      <c r="C9" s="307">
        <f>$C$6</f>
        <v>1.6E-2</v>
      </c>
      <c r="D9" s="306">
        <f>(B9+(B9*C9))</f>
        <v>22112547.135200083</v>
      </c>
      <c r="E9" s="360">
        <f>SUM(D9/12)</f>
        <v>1842712.2612666737</v>
      </c>
    </row>
    <row r="10" spans="1:5" x14ac:dyDescent="0.2">
      <c r="A10" s="38"/>
      <c r="B10" s="347"/>
      <c r="C10" s="307"/>
      <c r="D10" s="306"/>
      <c r="E10" s="360"/>
    </row>
    <row r="11" spans="1:5" x14ac:dyDescent="0.2">
      <c r="A11" s="39" t="s">
        <v>60</v>
      </c>
      <c r="B11" s="347"/>
      <c r="C11" s="307"/>
      <c r="D11" s="306"/>
      <c r="E11" s="360"/>
    </row>
    <row r="12" spans="1:5" x14ac:dyDescent="0.2">
      <c r="A12" s="38" t="s">
        <v>61</v>
      </c>
      <c r="B12" s="347">
        <v>27866.42</v>
      </c>
      <c r="C12" s="307">
        <f>$C$6</f>
        <v>1.6E-2</v>
      </c>
      <c r="D12" s="306">
        <f>(B12+(B12*C12))</f>
        <v>28312.282719999999</v>
      </c>
      <c r="E12" s="360">
        <f t="shared" ref="E12:E72" si="0">SUM(D12/12)</f>
        <v>2359.3568933333331</v>
      </c>
    </row>
    <row r="13" spans="1:5" x14ac:dyDescent="0.2">
      <c r="A13" s="38"/>
      <c r="B13" s="347">
        <v>0</v>
      </c>
      <c r="C13" s="307"/>
      <c r="D13" s="306"/>
      <c r="E13" s="360"/>
    </row>
    <row r="14" spans="1:5" x14ac:dyDescent="0.2">
      <c r="A14" s="38"/>
      <c r="C14" s="307"/>
      <c r="E14" s="360"/>
    </row>
    <row r="15" spans="1:5" ht="13.5" thickBot="1" x14ac:dyDescent="0.25">
      <c r="A15" s="64" t="s">
        <v>230</v>
      </c>
      <c r="B15" s="348">
        <f>SUM(B9:B12)</f>
        <v>21792184.466456778</v>
      </c>
      <c r="C15" s="307"/>
      <c r="D15" s="318">
        <f>SUM(D9:D13)</f>
        <v>22140859.417920083</v>
      </c>
      <c r="E15" s="360">
        <f t="shared" si="0"/>
        <v>1845071.6181600068</v>
      </c>
    </row>
    <row r="16" spans="1:5" ht="13.5" thickTop="1" x14ac:dyDescent="0.2">
      <c r="A16" s="64"/>
      <c r="C16" s="307"/>
      <c r="E16" s="360"/>
    </row>
    <row r="17" spans="1:5" x14ac:dyDescent="0.2">
      <c r="A17" s="39" t="s">
        <v>231</v>
      </c>
      <c r="C17" s="307"/>
      <c r="E17" s="360"/>
    </row>
    <row r="18" spans="1:5" x14ac:dyDescent="0.2">
      <c r="A18" s="39" t="s">
        <v>55</v>
      </c>
      <c r="C18" s="307"/>
      <c r="E18" s="360"/>
    </row>
    <row r="19" spans="1:5" x14ac:dyDescent="0.2">
      <c r="A19" s="38" t="s">
        <v>232</v>
      </c>
      <c r="B19" s="347">
        <v>5324041.6871628473</v>
      </c>
      <c r="C19" s="307">
        <f>$C$6</f>
        <v>1.6E-2</v>
      </c>
      <c r="D19" s="306">
        <f>(B19+(B19*C19))</f>
        <v>5409226.3541574525</v>
      </c>
      <c r="E19" s="360">
        <f t="shared" si="0"/>
        <v>450768.86284645437</v>
      </c>
    </row>
    <row r="20" spans="1:5" x14ac:dyDescent="0.2">
      <c r="A20" s="38"/>
      <c r="B20" s="347"/>
      <c r="C20" s="307"/>
      <c r="D20" s="306"/>
      <c r="E20" s="360"/>
    </row>
    <row r="21" spans="1:5" x14ac:dyDescent="0.2">
      <c r="A21" s="38" t="s">
        <v>107</v>
      </c>
      <c r="B21" s="347">
        <v>1521395.78</v>
      </c>
      <c r="C21" s="307">
        <f>$C$6</f>
        <v>1.6E-2</v>
      </c>
      <c r="D21" s="306">
        <f>(B21+(B21*C21))</f>
        <v>1545738.1124800001</v>
      </c>
      <c r="E21" s="360">
        <f t="shared" si="0"/>
        <v>128811.50937333335</v>
      </c>
    </row>
    <row r="22" spans="1:5" x14ac:dyDescent="0.2">
      <c r="A22" s="38"/>
      <c r="B22" s="347"/>
      <c r="C22" s="307"/>
      <c r="D22" s="306"/>
      <c r="E22" s="360"/>
    </row>
    <row r="23" spans="1:5" x14ac:dyDescent="0.2">
      <c r="A23" s="39" t="s">
        <v>60</v>
      </c>
      <c r="B23" s="347"/>
      <c r="C23" s="307"/>
      <c r="D23" s="306"/>
      <c r="E23" s="360"/>
    </row>
    <row r="24" spans="1:5" x14ac:dyDescent="0.2">
      <c r="A24" s="38" t="s">
        <v>61</v>
      </c>
      <c r="B24" s="347">
        <v>8012.05</v>
      </c>
      <c r="C24" s="307">
        <f>$C$6</f>
        <v>1.6E-2</v>
      </c>
      <c r="D24" s="306">
        <f>(B24+(B24*C24))</f>
        <v>8140.2428</v>
      </c>
      <c r="E24" s="360">
        <f t="shared" si="0"/>
        <v>678.35356666666667</v>
      </c>
    </row>
    <row r="25" spans="1:5" x14ac:dyDescent="0.2">
      <c r="A25" s="38" t="s">
        <v>233</v>
      </c>
      <c r="B25" s="347">
        <v>266460.78999999998</v>
      </c>
      <c r="C25" s="307">
        <f>$C$6</f>
        <v>1.6E-2</v>
      </c>
      <c r="D25" s="306">
        <f>(B25+(B25*C25))</f>
        <v>270724.16264</v>
      </c>
      <c r="E25" s="360">
        <f t="shared" si="0"/>
        <v>22560.346886666666</v>
      </c>
    </row>
    <row r="26" spans="1:5" x14ac:dyDescent="0.2">
      <c r="A26" s="38"/>
      <c r="B26" s="306"/>
      <c r="C26" s="307"/>
      <c r="D26" s="306"/>
      <c r="E26" s="360"/>
    </row>
    <row r="27" spans="1:5" ht="13.5" thickBot="1" x14ac:dyDescent="0.25">
      <c r="A27" s="64" t="s">
        <v>234</v>
      </c>
      <c r="B27" s="348">
        <f>SUM(B19:B25)</f>
        <v>7119910.3071628474</v>
      </c>
      <c r="C27" s="307"/>
      <c r="D27" s="318">
        <f>SUM(D19:D25)</f>
        <v>7233828.872077453</v>
      </c>
      <c r="E27" s="360">
        <f t="shared" si="0"/>
        <v>602819.07267312112</v>
      </c>
    </row>
    <row r="28" spans="1:5" ht="13.5" thickTop="1" x14ac:dyDescent="0.2">
      <c r="B28" s="306"/>
      <c r="C28" s="307"/>
      <c r="D28" s="306"/>
      <c r="E28" s="360"/>
    </row>
    <row r="29" spans="1:5" x14ac:dyDescent="0.2">
      <c r="A29" s="39" t="s">
        <v>399</v>
      </c>
      <c r="B29" s="306"/>
      <c r="C29" s="307"/>
      <c r="D29" s="306"/>
      <c r="E29" s="360"/>
    </row>
    <row r="30" spans="1:5" x14ac:dyDescent="0.2">
      <c r="A30" s="39" t="s">
        <v>347</v>
      </c>
      <c r="B30" s="306"/>
      <c r="C30" s="307"/>
      <c r="D30" s="306"/>
      <c r="E30" s="360"/>
    </row>
    <row r="31" spans="1:5" x14ac:dyDescent="0.2">
      <c r="A31" s="38" t="s">
        <v>236</v>
      </c>
      <c r="B31" s="308">
        <v>10346.040000000001</v>
      </c>
      <c r="C31" s="306"/>
      <c r="D31" s="308">
        <v>10346</v>
      </c>
      <c r="E31" s="360">
        <f t="shared" si="0"/>
        <v>862.16666666666663</v>
      </c>
    </row>
    <row r="32" spans="1:5" x14ac:dyDescent="0.2">
      <c r="A32" s="39" t="s">
        <v>55</v>
      </c>
      <c r="B32" s="306"/>
      <c r="C32" s="307"/>
      <c r="D32" s="306"/>
      <c r="E32" s="360"/>
    </row>
    <row r="33" spans="1:5" x14ac:dyDescent="0.2">
      <c r="A33" s="38" t="s">
        <v>479</v>
      </c>
      <c r="B33" s="347">
        <v>326555874.80285615</v>
      </c>
      <c r="C33" s="307">
        <f>$C$6</f>
        <v>1.6E-2</v>
      </c>
      <c r="D33" s="306">
        <f>(B33+(B33*C33))</f>
        <v>331780768.79970187</v>
      </c>
      <c r="E33" s="360">
        <f t="shared" si="0"/>
        <v>27648397.399975155</v>
      </c>
    </row>
    <row r="34" spans="1:5" x14ac:dyDescent="0.2">
      <c r="A34" s="38"/>
      <c r="B34" s="347"/>
      <c r="C34" s="307"/>
      <c r="D34" s="306"/>
      <c r="E34" s="360"/>
    </row>
    <row r="35" spans="1:5" x14ac:dyDescent="0.2">
      <c r="A35" s="38" t="s">
        <v>110</v>
      </c>
      <c r="B35" s="347">
        <v>9554253.8699999992</v>
      </c>
      <c r="C35" s="307">
        <f>$C$6</f>
        <v>1.6E-2</v>
      </c>
      <c r="D35" s="306">
        <f t="shared" ref="D35:D52" si="1">(B35+(B35*C35))</f>
        <v>9707121.9319199994</v>
      </c>
      <c r="E35" s="360">
        <f t="shared" si="0"/>
        <v>808926.82765999995</v>
      </c>
    </row>
    <row r="36" spans="1:5" x14ac:dyDescent="0.2">
      <c r="A36" s="38" t="s">
        <v>480</v>
      </c>
      <c r="B36" s="347">
        <v>92383591.040000007</v>
      </c>
      <c r="C36" s="307">
        <f>$C$6</f>
        <v>1.6E-2</v>
      </c>
      <c r="D36" s="306">
        <f t="shared" si="1"/>
        <v>93861728.496640012</v>
      </c>
      <c r="E36" s="360">
        <f t="shared" si="0"/>
        <v>7821810.7080533346</v>
      </c>
    </row>
    <row r="37" spans="1:5" x14ac:dyDescent="0.2">
      <c r="A37" s="38" t="s">
        <v>112</v>
      </c>
      <c r="B37" s="347">
        <v>257182869.81</v>
      </c>
      <c r="C37" s="307">
        <f>$C$6</f>
        <v>1.6E-2</v>
      </c>
      <c r="D37" s="306">
        <f t="shared" si="1"/>
        <v>261297795.72696</v>
      </c>
      <c r="E37" s="360">
        <f t="shared" si="0"/>
        <v>21774816.31058</v>
      </c>
    </row>
    <row r="38" spans="1:5" x14ac:dyDescent="0.2">
      <c r="A38" s="38" t="s">
        <v>113</v>
      </c>
      <c r="B38" s="347">
        <v>7399245.54</v>
      </c>
      <c r="C38" s="307">
        <f>$C$6</f>
        <v>1.6E-2</v>
      </c>
      <c r="D38" s="306">
        <f t="shared" si="1"/>
        <v>7517633.4686399996</v>
      </c>
      <c r="E38" s="360">
        <f t="shared" si="0"/>
        <v>626469.45571999997</v>
      </c>
    </row>
    <row r="39" spans="1:5" x14ac:dyDescent="0.2">
      <c r="A39" s="38" t="s">
        <v>114</v>
      </c>
      <c r="B39" s="347">
        <v>46585772.450000003</v>
      </c>
      <c r="C39" s="307">
        <f>$C$6</f>
        <v>1.6E-2</v>
      </c>
      <c r="D39" s="306">
        <f t="shared" si="1"/>
        <v>47331144.809200004</v>
      </c>
      <c r="E39" s="360">
        <f t="shared" si="0"/>
        <v>3944262.0674333335</v>
      </c>
    </row>
    <row r="40" spans="1:5" x14ac:dyDescent="0.2">
      <c r="A40" s="91"/>
      <c r="B40" s="347"/>
      <c r="C40" s="307"/>
      <c r="D40" s="306"/>
      <c r="E40" s="360"/>
    </row>
    <row r="41" spans="1:5" x14ac:dyDescent="0.2">
      <c r="A41" s="38" t="s">
        <v>115</v>
      </c>
      <c r="B41" s="347">
        <v>543988.05000000005</v>
      </c>
      <c r="C41" s="307">
        <f t="shared" ref="C41:C52" si="2">$C$6</f>
        <v>1.6E-2</v>
      </c>
      <c r="D41" s="306">
        <f t="shared" si="1"/>
        <v>552691.85880000005</v>
      </c>
      <c r="E41" s="360">
        <f t="shared" si="0"/>
        <v>46057.654900000001</v>
      </c>
    </row>
    <row r="42" spans="1:5" x14ac:dyDescent="0.2">
      <c r="A42" s="38" t="s">
        <v>116</v>
      </c>
      <c r="B42" s="347">
        <v>4174346.48</v>
      </c>
      <c r="C42" s="307">
        <f t="shared" si="2"/>
        <v>1.6E-2</v>
      </c>
      <c r="D42" s="306">
        <f t="shared" si="1"/>
        <v>4241136.0236799996</v>
      </c>
      <c r="E42" s="360">
        <f t="shared" si="0"/>
        <v>353428.0019733333</v>
      </c>
    </row>
    <row r="43" spans="1:5" x14ac:dyDescent="0.2">
      <c r="A43" s="38" t="s">
        <v>478</v>
      </c>
      <c r="B43" s="347">
        <v>0</v>
      </c>
      <c r="C43" s="307">
        <f t="shared" si="2"/>
        <v>1.6E-2</v>
      </c>
      <c r="D43" s="306">
        <f t="shared" si="1"/>
        <v>0</v>
      </c>
      <c r="E43" s="360">
        <f t="shared" si="0"/>
        <v>0</v>
      </c>
    </row>
    <row r="44" spans="1:5" x14ac:dyDescent="0.2">
      <c r="A44" s="38" t="s">
        <v>118</v>
      </c>
      <c r="B44" s="347">
        <v>6849474.2699999996</v>
      </c>
      <c r="C44" s="307">
        <f t="shared" si="2"/>
        <v>1.6E-2</v>
      </c>
      <c r="D44" s="306">
        <f t="shared" si="1"/>
        <v>6959065.8583199997</v>
      </c>
      <c r="E44" s="360">
        <f t="shared" si="0"/>
        <v>579922.15486000001</v>
      </c>
    </row>
    <row r="45" spans="1:5" x14ac:dyDescent="0.2">
      <c r="A45" s="38" t="s">
        <v>237</v>
      </c>
      <c r="B45" s="347">
        <v>740878.21</v>
      </c>
      <c r="C45" s="307">
        <f t="shared" si="2"/>
        <v>1.6E-2</v>
      </c>
      <c r="D45" s="306">
        <f t="shared" si="1"/>
        <v>752732.26136</v>
      </c>
      <c r="E45" s="360">
        <f t="shared" si="0"/>
        <v>62727.688446666667</v>
      </c>
    </row>
    <row r="46" spans="1:5" x14ac:dyDescent="0.2">
      <c r="A46" s="38" t="s">
        <v>120</v>
      </c>
      <c r="B46" s="347">
        <v>67427410.359999999</v>
      </c>
      <c r="C46" s="307">
        <f t="shared" si="2"/>
        <v>1.6E-2</v>
      </c>
      <c r="D46" s="306">
        <f t="shared" si="1"/>
        <v>68506248.925760001</v>
      </c>
      <c r="E46" s="360">
        <f t="shared" si="0"/>
        <v>5708854.0771466671</v>
      </c>
    </row>
    <row r="47" spans="1:5" x14ac:dyDescent="0.2">
      <c r="A47" s="38" t="s">
        <v>121</v>
      </c>
      <c r="B47" s="347">
        <v>380418.32</v>
      </c>
      <c r="C47" s="307">
        <f t="shared" si="2"/>
        <v>1.6E-2</v>
      </c>
      <c r="D47" s="306">
        <f t="shared" si="1"/>
        <v>386505.01312000002</v>
      </c>
      <c r="E47" s="360">
        <f t="shared" si="0"/>
        <v>32208.751093333336</v>
      </c>
    </row>
    <row r="48" spans="1:5" x14ac:dyDescent="0.2">
      <c r="A48" s="38" t="s">
        <v>122</v>
      </c>
      <c r="B48" s="347">
        <v>20151760.870000001</v>
      </c>
      <c r="C48" s="307">
        <f t="shared" si="2"/>
        <v>1.6E-2</v>
      </c>
      <c r="D48" s="306">
        <f t="shared" si="1"/>
        <v>20474189.043920003</v>
      </c>
      <c r="E48" s="360">
        <f t="shared" si="0"/>
        <v>1706182.4203266669</v>
      </c>
    </row>
    <row r="49" spans="1:5" x14ac:dyDescent="0.2">
      <c r="A49" s="38" t="s">
        <v>123</v>
      </c>
      <c r="B49" s="347">
        <v>146525.4</v>
      </c>
      <c r="C49" s="307">
        <f t="shared" si="2"/>
        <v>1.6E-2</v>
      </c>
      <c r="D49" s="306">
        <f t="shared" si="1"/>
        <v>148869.8064</v>
      </c>
      <c r="E49" s="360">
        <f t="shared" si="0"/>
        <v>12405.8172</v>
      </c>
    </row>
    <row r="50" spans="1:5" x14ac:dyDescent="0.2">
      <c r="A50" s="38" t="s">
        <v>124</v>
      </c>
      <c r="B50" s="347">
        <v>9791138.0999999996</v>
      </c>
      <c r="C50" s="307">
        <f t="shared" si="2"/>
        <v>1.6E-2</v>
      </c>
      <c r="D50" s="306">
        <f t="shared" si="1"/>
        <v>9947796.3095999993</v>
      </c>
      <c r="E50" s="360">
        <f t="shared" si="0"/>
        <v>828983.02579999994</v>
      </c>
    </row>
    <row r="51" spans="1:5" x14ac:dyDescent="0.2">
      <c r="A51" s="38" t="s">
        <v>125</v>
      </c>
      <c r="B51" s="347">
        <v>804399.83</v>
      </c>
      <c r="C51" s="307">
        <f t="shared" si="2"/>
        <v>1.6E-2</v>
      </c>
      <c r="D51" s="306">
        <f t="shared" si="1"/>
        <v>817270.22727999999</v>
      </c>
      <c r="E51" s="360">
        <f t="shared" si="0"/>
        <v>68105.852273333338</v>
      </c>
    </row>
    <row r="52" spans="1:5" x14ac:dyDescent="0.2">
      <c r="A52" s="38" t="s">
        <v>126</v>
      </c>
      <c r="B52" s="347">
        <v>12954992.539999999</v>
      </c>
      <c r="C52" s="307">
        <f t="shared" si="2"/>
        <v>1.6E-2</v>
      </c>
      <c r="D52" s="306">
        <f t="shared" si="1"/>
        <v>13162272.420639999</v>
      </c>
      <c r="E52" s="360">
        <f t="shared" si="0"/>
        <v>1096856.0350533333</v>
      </c>
    </row>
    <row r="53" spans="1:5" x14ac:dyDescent="0.2">
      <c r="A53" s="92"/>
      <c r="B53" s="347"/>
      <c r="C53" s="307"/>
      <c r="D53" s="306"/>
      <c r="E53" s="360"/>
    </row>
    <row r="54" spans="1:5" x14ac:dyDescent="0.2">
      <c r="A54" s="39" t="s">
        <v>60</v>
      </c>
      <c r="B54" s="347"/>
      <c r="C54" s="307"/>
      <c r="D54" s="306"/>
      <c r="E54" s="360"/>
    </row>
    <row r="55" spans="1:5" x14ac:dyDescent="0.2">
      <c r="A55" s="38" t="s">
        <v>238</v>
      </c>
      <c r="B55" s="347">
        <v>584670.21</v>
      </c>
      <c r="C55" s="307">
        <f t="shared" ref="C55:C60" si="3">$C$6</f>
        <v>1.6E-2</v>
      </c>
      <c r="D55" s="306">
        <f t="shared" ref="D55:D60" si="4">(B55+(B55*C55))</f>
        <v>594024.93335999991</v>
      </c>
      <c r="E55" s="360">
        <f t="shared" si="0"/>
        <v>49502.077779999992</v>
      </c>
    </row>
    <row r="56" spans="1:5" x14ac:dyDescent="0.2">
      <c r="A56" s="38" t="s">
        <v>239</v>
      </c>
      <c r="B56" s="347">
        <v>46374396.520000003</v>
      </c>
      <c r="C56" s="307">
        <f t="shared" si="3"/>
        <v>1.6E-2</v>
      </c>
      <c r="D56" s="306">
        <f t="shared" si="4"/>
        <v>47116386.864320002</v>
      </c>
      <c r="E56" s="360">
        <f t="shared" si="0"/>
        <v>3926365.5720266667</v>
      </c>
    </row>
    <row r="57" spans="1:5" x14ac:dyDescent="0.2">
      <c r="A57" s="38" t="s">
        <v>240</v>
      </c>
      <c r="B57" s="347">
        <v>2095059.5</v>
      </c>
      <c r="C57" s="307">
        <f t="shared" si="3"/>
        <v>1.6E-2</v>
      </c>
      <c r="D57" s="306">
        <f t="shared" si="4"/>
        <v>2128580.452</v>
      </c>
      <c r="E57" s="360">
        <f t="shared" si="0"/>
        <v>177381.70433333333</v>
      </c>
    </row>
    <row r="58" spans="1:5" x14ac:dyDescent="0.2">
      <c r="A58" s="38" t="s">
        <v>241</v>
      </c>
      <c r="B58" s="347">
        <v>19157526.23</v>
      </c>
      <c r="C58" s="307">
        <f t="shared" si="3"/>
        <v>1.6E-2</v>
      </c>
      <c r="D58" s="306">
        <f t="shared" si="4"/>
        <v>19464046.64968</v>
      </c>
      <c r="E58" s="360">
        <f t="shared" si="0"/>
        <v>1622003.8874733334</v>
      </c>
    </row>
    <row r="59" spans="1:5" x14ac:dyDescent="0.2">
      <c r="A59" s="38" t="s">
        <v>242</v>
      </c>
      <c r="B59" s="347">
        <v>805344.69</v>
      </c>
      <c r="C59" s="307">
        <f t="shared" si="3"/>
        <v>1.6E-2</v>
      </c>
      <c r="D59" s="306">
        <f t="shared" si="4"/>
        <v>818230.20503999991</v>
      </c>
      <c r="E59" s="360">
        <f t="shared" si="0"/>
        <v>68185.850419999988</v>
      </c>
    </row>
    <row r="60" spans="1:5" x14ac:dyDescent="0.2">
      <c r="A60" s="38" t="s">
        <v>243</v>
      </c>
      <c r="B60" s="347">
        <v>153471.71</v>
      </c>
      <c r="C60" s="307">
        <f t="shared" si="3"/>
        <v>1.6E-2</v>
      </c>
      <c r="D60" s="306">
        <f t="shared" si="4"/>
        <v>155927.25735999999</v>
      </c>
      <c r="E60" s="360">
        <f t="shared" si="0"/>
        <v>12993.938113333332</v>
      </c>
    </row>
    <row r="61" spans="1:5" x14ac:dyDescent="0.2">
      <c r="A61" s="38"/>
      <c r="B61" s="306"/>
      <c r="C61" s="307"/>
      <c r="D61" s="306"/>
      <c r="E61" s="360"/>
    </row>
    <row r="62" spans="1:5" ht="13.5" thickBot="1" x14ac:dyDescent="0.25">
      <c r="A62" s="64" t="s">
        <v>244</v>
      </c>
      <c r="B62" s="348">
        <f>SUM(B31:B60)</f>
        <v>932807754.84285641</v>
      </c>
      <c r="C62" s="307"/>
      <c r="D62" s="318">
        <f>SUM(D31:D60)</f>
        <v>947732513.34370208</v>
      </c>
      <c r="E62" s="360">
        <f t="shared" si="0"/>
        <v>78977709.445308506</v>
      </c>
    </row>
    <row r="63" spans="1:5" ht="13.5" thickTop="1" x14ac:dyDescent="0.2">
      <c r="A63" s="64"/>
      <c r="B63" s="349"/>
      <c r="C63" s="307"/>
      <c r="D63" s="319"/>
      <c r="E63" s="360"/>
    </row>
    <row r="64" spans="1:5" x14ac:dyDescent="0.2">
      <c r="A64" s="38" t="s">
        <v>401</v>
      </c>
      <c r="B64" s="306">
        <f>SUM(B33:B60)</f>
        <v>932797408.80285645</v>
      </c>
      <c r="C64" s="307"/>
      <c r="D64" s="319"/>
      <c r="E64" s="360"/>
    </row>
    <row r="65" spans="1:5" x14ac:dyDescent="0.2">
      <c r="A65" s="3" t="s">
        <v>482</v>
      </c>
      <c r="B65" s="306"/>
      <c r="C65" s="307"/>
      <c r="D65" s="319"/>
      <c r="E65" s="360"/>
    </row>
    <row r="66" spans="1:5" x14ac:dyDescent="0.2">
      <c r="A66" s="3" t="s">
        <v>481</v>
      </c>
      <c r="B66" s="306"/>
      <c r="C66" s="307"/>
      <c r="D66" s="306"/>
      <c r="E66" s="360"/>
    </row>
    <row r="67" spans="1:5" x14ac:dyDescent="0.2">
      <c r="A67" s="22" t="s">
        <v>40</v>
      </c>
      <c r="B67" s="306"/>
      <c r="C67" s="307"/>
      <c r="D67" s="306"/>
      <c r="E67" s="360"/>
    </row>
    <row r="68" spans="1:5" x14ac:dyDescent="0.2">
      <c r="A68" s="22" t="s">
        <v>320</v>
      </c>
      <c r="B68" s="306"/>
      <c r="C68" s="307"/>
      <c r="D68" s="306"/>
      <c r="E68" s="360"/>
    </row>
    <row r="69" spans="1:5" x14ac:dyDescent="0.2">
      <c r="A69" s="21" t="s">
        <v>51</v>
      </c>
      <c r="B69" s="308">
        <v>137984.4</v>
      </c>
      <c r="C69" s="307"/>
      <c r="D69" s="308">
        <f>137984.42</f>
        <v>137984.42000000001</v>
      </c>
      <c r="E69" s="360">
        <f t="shared" si="0"/>
        <v>11498.701666666668</v>
      </c>
    </row>
    <row r="70" spans="1:5" x14ac:dyDescent="0.2">
      <c r="A70" s="21" t="s">
        <v>52</v>
      </c>
      <c r="B70" s="308">
        <v>7311</v>
      </c>
      <c r="C70" s="307"/>
      <c r="D70" s="308">
        <f>7310.98</f>
        <v>7310.98</v>
      </c>
      <c r="E70" s="360">
        <f t="shared" si="0"/>
        <v>609.24833333333333</v>
      </c>
    </row>
    <row r="71" spans="1:5" x14ac:dyDescent="0.2">
      <c r="A71" s="21" t="s">
        <v>53</v>
      </c>
      <c r="B71" s="308">
        <v>134659.43999999997</v>
      </c>
      <c r="C71" s="307"/>
      <c r="D71" s="308">
        <f>134659.41</f>
        <v>134659.41</v>
      </c>
      <c r="E71" s="360">
        <f t="shared" si="0"/>
        <v>11221.6175</v>
      </c>
    </row>
    <row r="72" spans="1:5" x14ac:dyDescent="0.2">
      <c r="A72" s="21" t="s">
        <v>54</v>
      </c>
      <c r="B72" s="308">
        <v>437670.3600000001</v>
      </c>
      <c r="C72" s="307"/>
      <c r="D72" s="308">
        <f>437670.34</f>
        <v>437670.34</v>
      </c>
      <c r="E72" s="360">
        <f t="shared" si="0"/>
        <v>36472.528333333335</v>
      </c>
    </row>
    <row r="73" spans="1:5" x14ac:dyDescent="0.2">
      <c r="A73" s="21"/>
      <c r="B73" s="306"/>
      <c r="C73" s="307"/>
      <c r="D73" s="306"/>
      <c r="E73" s="360"/>
    </row>
    <row r="74" spans="1:5" x14ac:dyDescent="0.2">
      <c r="A74" s="22" t="s">
        <v>55</v>
      </c>
      <c r="B74" s="306"/>
      <c r="C74" s="307"/>
      <c r="D74" s="306"/>
      <c r="E74" s="360"/>
    </row>
    <row r="75" spans="1:5" x14ac:dyDescent="0.2">
      <c r="A75" s="21" t="s">
        <v>56</v>
      </c>
      <c r="B75" s="347">
        <v>10902842.633154124</v>
      </c>
      <c r="C75" s="307">
        <f>$C$6</f>
        <v>1.6E-2</v>
      </c>
      <c r="D75" s="306">
        <f t="shared" ref="D75" si="5">(B75+(B75*C75))</f>
        <v>11077288.11528459</v>
      </c>
      <c r="E75" s="360">
        <f t="shared" ref="E75:E137" si="6">SUM(D75/12)</f>
        <v>923107.34294038254</v>
      </c>
    </row>
    <row r="76" spans="1:5" x14ac:dyDescent="0.2">
      <c r="A76" s="21"/>
      <c r="B76" s="347"/>
      <c r="C76" s="307"/>
      <c r="D76" s="306"/>
      <c r="E76" s="360"/>
    </row>
    <row r="77" spans="1:5" x14ac:dyDescent="0.2">
      <c r="A77" s="21" t="s">
        <v>57</v>
      </c>
      <c r="B77" s="347">
        <v>261741.23</v>
      </c>
      <c r="C77" s="307">
        <f t="shared" ref="C77:C143" si="7">$C$6</f>
        <v>1.6E-2</v>
      </c>
      <c r="D77" s="306">
        <f t="shared" ref="D77:D79" si="8">(B77+(B77*C77))</f>
        <v>265929.08968000003</v>
      </c>
      <c r="E77" s="360">
        <f t="shared" si="6"/>
        <v>22160.757473333335</v>
      </c>
    </row>
    <row r="78" spans="1:5" x14ac:dyDescent="0.2">
      <c r="A78" s="21" t="s">
        <v>58</v>
      </c>
      <c r="B78" s="347">
        <v>10739.75</v>
      </c>
      <c r="C78" s="307">
        <f t="shared" si="7"/>
        <v>1.6E-2</v>
      </c>
      <c r="D78" s="306">
        <f t="shared" si="8"/>
        <v>10911.585999999999</v>
      </c>
      <c r="E78" s="360">
        <f t="shared" si="6"/>
        <v>909.29883333333328</v>
      </c>
    </row>
    <row r="79" spans="1:5" x14ac:dyDescent="0.2">
      <c r="A79" s="21" t="s">
        <v>59</v>
      </c>
      <c r="B79" s="347">
        <v>346495.98</v>
      </c>
      <c r="C79" s="307">
        <f t="shared" si="7"/>
        <v>1.6E-2</v>
      </c>
      <c r="D79" s="306">
        <f t="shared" si="8"/>
        <v>352039.91567999998</v>
      </c>
      <c r="E79" s="360">
        <f t="shared" si="6"/>
        <v>29336.659639999998</v>
      </c>
    </row>
    <row r="80" spans="1:5" x14ac:dyDescent="0.2">
      <c r="A80" s="21"/>
      <c r="B80" s="347"/>
      <c r="C80" s="307"/>
      <c r="D80" s="306"/>
      <c r="E80" s="360"/>
    </row>
    <row r="81" spans="1:5" x14ac:dyDescent="0.2">
      <c r="A81" s="22" t="s">
        <v>60</v>
      </c>
      <c r="B81" s="347"/>
      <c r="C81" s="307"/>
      <c r="D81" s="306"/>
      <c r="E81" s="360"/>
    </row>
    <row r="82" spans="1:5" x14ac:dyDescent="0.2">
      <c r="A82" s="21" t="s">
        <v>61</v>
      </c>
      <c r="B82" s="347">
        <v>23771.75</v>
      </c>
      <c r="C82" s="307">
        <f t="shared" si="7"/>
        <v>1.6E-2</v>
      </c>
      <c r="D82" s="306">
        <f t="shared" ref="D82:D93" si="9">(B82+(B82*C82))</f>
        <v>24152.098000000002</v>
      </c>
      <c r="E82" s="360">
        <f t="shared" si="6"/>
        <v>2012.6748333333335</v>
      </c>
    </row>
    <row r="83" spans="1:5" x14ac:dyDescent="0.2">
      <c r="A83" s="21" t="s">
        <v>62</v>
      </c>
      <c r="B83" s="347">
        <v>17969.52</v>
      </c>
      <c r="C83" s="307">
        <f t="shared" si="7"/>
        <v>1.6E-2</v>
      </c>
      <c r="D83" s="306">
        <f t="shared" si="9"/>
        <v>18257.032320000002</v>
      </c>
      <c r="E83" s="360">
        <f t="shared" si="6"/>
        <v>1521.4193600000001</v>
      </c>
    </row>
    <row r="84" spans="1:5" x14ac:dyDescent="0.2">
      <c r="A84" s="21" t="s">
        <v>63</v>
      </c>
      <c r="B84" s="347">
        <v>130896.36</v>
      </c>
      <c r="C84" s="307">
        <f t="shared" si="7"/>
        <v>1.6E-2</v>
      </c>
      <c r="D84" s="306">
        <f t="shared" si="9"/>
        <v>132990.70176</v>
      </c>
      <c r="E84" s="360">
        <f t="shared" si="6"/>
        <v>11082.55848</v>
      </c>
    </row>
    <row r="85" spans="1:5" x14ac:dyDescent="0.2">
      <c r="A85" s="21" t="s">
        <v>64</v>
      </c>
      <c r="B85" s="347">
        <v>1658930.38</v>
      </c>
      <c r="C85" s="307">
        <f t="shared" si="7"/>
        <v>1.6E-2</v>
      </c>
      <c r="D85" s="306">
        <f t="shared" si="9"/>
        <v>1685473.26608</v>
      </c>
      <c r="E85" s="360">
        <f t="shared" si="6"/>
        <v>140456.10550666667</v>
      </c>
    </row>
    <row r="86" spans="1:5" x14ac:dyDescent="0.2">
      <c r="A86" s="21" t="s">
        <v>65</v>
      </c>
      <c r="B86" s="347">
        <v>765852.44</v>
      </c>
      <c r="C86" s="307">
        <f t="shared" si="7"/>
        <v>1.6E-2</v>
      </c>
      <c r="D86" s="306">
        <f t="shared" si="9"/>
        <v>778106.07903999998</v>
      </c>
      <c r="E86" s="360">
        <f t="shared" si="6"/>
        <v>64842.173253333334</v>
      </c>
    </row>
    <row r="87" spans="1:5" x14ac:dyDescent="0.2">
      <c r="A87" s="21" t="s">
        <v>66</v>
      </c>
      <c r="B87" s="347">
        <v>262865.56</v>
      </c>
      <c r="C87" s="307">
        <f t="shared" si="7"/>
        <v>1.6E-2</v>
      </c>
      <c r="D87" s="306">
        <f t="shared" si="9"/>
        <v>267071.40895999997</v>
      </c>
      <c r="E87" s="360">
        <f t="shared" si="6"/>
        <v>22255.950746666666</v>
      </c>
    </row>
    <row r="88" spans="1:5" x14ac:dyDescent="0.2">
      <c r="A88" s="21" t="s">
        <v>67</v>
      </c>
      <c r="B88" s="347">
        <v>527127.94999999995</v>
      </c>
      <c r="C88" s="307">
        <f t="shared" si="7"/>
        <v>1.6E-2</v>
      </c>
      <c r="D88" s="306">
        <f t="shared" si="9"/>
        <v>535561.99719999998</v>
      </c>
      <c r="E88" s="360">
        <f t="shared" si="6"/>
        <v>44630.166433333332</v>
      </c>
    </row>
    <row r="89" spans="1:5" x14ac:dyDescent="0.2">
      <c r="A89" s="21" t="s">
        <v>68</v>
      </c>
      <c r="B89" s="347">
        <v>16984.8</v>
      </c>
      <c r="C89" s="307">
        <f t="shared" si="7"/>
        <v>1.6E-2</v>
      </c>
      <c r="D89" s="306">
        <f t="shared" si="9"/>
        <v>17256.556799999998</v>
      </c>
      <c r="E89" s="360">
        <f t="shared" si="6"/>
        <v>1438.0463999999999</v>
      </c>
    </row>
    <row r="90" spans="1:5" x14ac:dyDescent="0.2">
      <c r="A90" s="21" t="s">
        <v>69</v>
      </c>
      <c r="B90" s="347">
        <v>7303.4</v>
      </c>
      <c r="C90" s="307">
        <f t="shared" si="7"/>
        <v>1.6E-2</v>
      </c>
      <c r="D90" s="306">
        <f t="shared" si="9"/>
        <v>7420.2543999999998</v>
      </c>
      <c r="E90" s="360">
        <f t="shared" si="6"/>
        <v>618.35453333333328</v>
      </c>
    </row>
    <row r="91" spans="1:5" x14ac:dyDescent="0.2">
      <c r="A91" s="21" t="s">
        <v>70</v>
      </c>
      <c r="B91" s="347">
        <v>52666.74</v>
      </c>
      <c r="C91" s="307">
        <f t="shared" si="7"/>
        <v>1.6E-2</v>
      </c>
      <c r="D91" s="306">
        <f t="shared" si="9"/>
        <v>53509.40784</v>
      </c>
      <c r="E91" s="360">
        <f t="shared" si="6"/>
        <v>4459.1173200000003</v>
      </c>
    </row>
    <row r="92" spans="1:5" x14ac:dyDescent="0.2">
      <c r="A92" s="21" t="s">
        <v>71</v>
      </c>
      <c r="B92" s="347">
        <v>19240.27</v>
      </c>
      <c r="C92" s="307">
        <f t="shared" si="7"/>
        <v>1.6E-2</v>
      </c>
      <c r="D92" s="306">
        <f t="shared" si="9"/>
        <v>19548.114320000001</v>
      </c>
      <c r="E92" s="360">
        <f t="shared" si="6"/>
        <v>1629.0095266666667</v>
      </c>
    </row>
    <row r="93" spans="1:5" x14ac:dyDescent="0.2">
      <c r="A93" s="21" t="s">
        <v>72</v>
      </c>
      <c r="B93" s="347">
        <v>390459.76</v>
      </c>
      <c r="C93" s="307">
        <f t="shared" si="7"/>
        <v>1.6E-2</v>
      </c>
      <c r="D93" s="306">
        <f t="shared" si="9"/>
        <v>396707.11616000003</v>
      </c>
      <c r="E93" s="360">
        <f t="shared" si="6"/>
        <v>33058.926346666667</v>
      </c>
    </row>
    <row r="94" spans="1:5" x14ac:dyDescent="0.2">
      <c r="A94" s="21"/>
      <c r="B94" s="347">
        <v>0</v>
      </c>
      <c r="C94" s="307"/>
      <c r="D94" s="306"/>
      <c r="E94" s="360"/>
    </row>
    <row r="95" spans="1:5" x14ac:dyDescent="0.2">
      <c r="A95" s="21" t="s">
        <v>74</v>
      </c>
      <c r="B95" s="347">
        <v>74510.240000000005</v>
      </c>
      <c r="C95" s="307">
        <f t="shared" si="7"/>
        <v>1.6E-2</v>
      </c>
      <c r="D95" s="306">
        <f t="shared" ref="D95:D100" si="10">(B95+(B95*C95))</f>
        <v>75702.403839999999</v>
      </c>
      <c r="E95" s="360">
        <f t="shared" si="6"/>
        <v>6308.5336533333329</v>
      </c>
    </row>
    <row r="96" spans="1:5" x14ac:dyDescent="0.2">
      <c r="A96" s="21" t="s">
        <v>75</v>
      </c>
      <c r="B96" s="347">
        <v>4063929.07</v>
      </c>
      <c r="C96" s="307">
        <f t="shared" si="7"/>
        <v>1.6E-2</v>
      </c>
      <c r="D96" s="306">
        <f t="shared" si="10"/>
        <v>4128951.93512</v>
      </c>
      <c r="E96" s="360">
        <f t="shared" si="6"/>
        <v>344079.32792666665</v>
      </c>
    </row>
    <row r="97" spans="1:5" x14ac:dyDescent="0.2">
      <c r="A97" s="21" t="s">
        <v>76</v>
      </c>
      <c r="B97" s="347">
        <v>65100.95</v>
      </c>
      <c r="C97" s="307">
        <f t="shared" si="7"/>
        <v>1.6E-2</v>
      </c>
      <c r="D97" s="306">
        <f t="shared" si="10"/>
        <v>66142.565199999997</v>
      </c>
      <c r="E97" s="360">
        <f t="shared" si="6"/>
        <v>5511.8804333333328</v>
      </c>
    </row>
    <row r="98" spans="1:5" x14ac:dyDescent="0.2">
      <c r="A98" s="21" t="s">
        <v>77</v>
      </c>
      <c r="B98" s="347">
        <v>27685.91</v>
      </c>
      <c r="C98" s="307">
        <f t="shared" si="7"/>
        <v>1.6E-2</v>
      </c>
      <c r="D98" s="306">
        <f t="shared" si="10"/>
        <v>28128.884559999999</v>
      </c>
      <c r="E98" s="360">
        <f t="shared" si="6"/>
        <v>2344.0737133333332</v>
      </c>
    </row>
    <row r="99" spans="1:5" x14ac:dyDescent="0.2">
      <c r="A99" s="21" t="s">
        <v>78</v>
      </c>
      <c r="B99" s="347">
        <v>87056.79</v>
      </c>
      <c r="C99" s="307">
        <f t="shared" si="7"/>
        <v>1.6E-2</v>
      </c>
      <c r="D99" s="306">
        <f t="shared" si="10"/>
        <v>88449.698639999988</v>
      </c>
      <c r="E99" s="360">
        <f t="shared" si="6"/>
        <v>7370.808219999999</v>
      </c>
    </row>
    <row r="100" spans="1:5" x14ac:dyDescent="0.2">
      <c r="A100" s="21" t="s">
        <v>79</v>
      </c>
      <c r="B100" s="347">
        <v>3194.74</v>
      </c>
      <c r="C100" s="307">
        <f t="shared" si="7"/>
        <v>1.6E-2</v>
      </c>
      <c r="D100" s="306">
        <f t="shared" si="10"/>
        <v>3245.8558399999997</v>
      </c>
      <c r="E100" s="360">
        <f t="shared" si="6"/>
        <v>270.48798666666664</v>
      </c>
    </row>
    <row r="101" spans="1:5" ht="13.5" thickBot="1" x14ac:dyDescent="0.25">
      <c r="A101" s="32" t="s">
        <v>80</v>
      </c>
      <c r="B101" s="348">
        <f>SUM(B69:B100)</f>
        <v>20434991.423154119</v>
      </c>
      <c r="C101" s="307"/>
      <c r="D101" s="318">
        <f>SUM(D69:D100)</f>
        <v>20750469.232724592</v>
      </c>
      <c r="E101" s="360">
        <f t="shared" si="6"/>
        <v>1729205.769393716</v>
      </c>
    </row>
    <row r="102" spans="1:5" ht="13.5" thickTop="1" x14ac:dyDescent="0.2">
      <c r="A102" s="32"/>
      <c r="B102" s="349"/>
      <c r="C102" s="307"/>
      <c r="D102" s="319"/>
      <c r="E102" s="360"/>
    </row>
    <row r="103" spans="1:5" x14ac:dyDescent="0.2">
      <c r="A103" s="38" t="s">
        <v>401</v>
      </c>
      <c r="B103" s="306">
        <f>B101-B69-B70-B71-B72</f>
        <v>19717366.22315412</v>
      </c>
      <c r="C103" s="307"/>
      <c r="D103" s="319"/>
      <c r="E103" s="360"/>
    </row>
    <row r="104" spans="1:5" x14ac:dyDescent="0.2">
      <c r="B104" s="306"/>
      <c r="C104" s="307"/>
      <c r="D104" s="306"/>
      <c r="E104" s="360"/>
    </row>
    <row r="105" spans="1:5" x14ac:dyDescent="0.2">
      <c r="A105" s="39" t="s">
        <v>83</v>
      </c>
      <c r="B105" s="306"/>
      <c r="C105" s="307"/>
      <c r="D105" s="306"/>
      <c r="E105" s="360"/>
    </row>
    <row r="106" spans="1:5" x14ac:dyDescent="0.2">
      <c r="A106" s="39" t="s">
        <v>346</v>
      </c>
      <c r="B106" s="306"/>
      <c r="C106" s="307"/>
      <c r="D106" s="306"/>
      <c r="E106" s="360"/>
    </row>
    <row r="107" spans="1:5" x14ac:dyDescent="0.2">
      <c r="A107" s="38" t="s">
        <v>84</v>
      </c>
      <c r="B107" s="308">
        <v>391396.31999999989</v>
      </c>
      <c r="C107" s="307"/>
      <c r="D107" s="308">
        <f>391396.37</f>
        <v>391396.37</v>
      </c>
      <c r="E107" s="360">
        <f t="shared" si="6"/>
        <v>32616.364166666666</v>
      </c>
    </row>
    <row r="108" spans="1:5" x14ac:dyDescent="0.2">
      <c r="A108" s="38" t="s">
        <v>85</v>
      </c>
      <c r="B108" s="308">
        <v>163451.51999999993</v>
      </c>
      <c r="C108" s="307"/>
      <c r="D108" s="308">
        <f>163451.57</f>
        <v>163451.57</v>
      </c>
      <c r="E108" s="360">
        <f t="shared" si="6"/>
        <v>13620.964166666667</v>
      </c>
    </row>
    <row r="109" spans="1:5" x14ac:dyDescent="0.2">
      <c r="A109" s="38"/>
      <c r="B109" s="306"/>
      <c r="C109" s="307"/>
      <c r="D109" s="306"/>
      <c r="E109" s="360"/>
    </row>
    <row r="110" spans="1:5" x14ac:dyDescent="0.2">
      <c r="A110" s="39" t="s">
        <v>55</v>
      </c>
      <c r="B110" s="306"/>
      <c r="C110" s="307"/>
      <c r="D110" s="306"/>
      <c r="E110" s="360"/>
    </row>
    <row r="111" spans="1:5" x14ac:dyDescent="0.2">
      <c r="A111" s="38" t="s">
        <v>86</v>
      </c>
      <c r="B111" s="347">
        <v>14119089.122894712</v>
      </c>
      <c r="C111" s="307">
        <f t="shared" si="7"/>
        <v>1.6E-2</v>
      </c>
      <c r="D111" s="306">
        <f t="shared" ref="D111" si="11">(B111+(B111*C111))</f>
        <v>14344994.548861027</v>
      </c>
      <c r="E111" s="360">
        <f t="shared" si="6"/>
        <v>1195416.2124050856</v>
      </c>
    </row>
    <row r="112" spans="1:5" x14ac:dyDescent="0.2">
      <c r="A112" s="38"/>
      <c r="B112" s="347"/>
      <c r="C112" s="307"/>
      <c r="D112" s="306"/>
      <c r="E112" s="360"/>
    </row>
    <row r="113" spans="1:5" x14ac:dyDescent="0.2">
      <c r="A113" s="38" t="s">
        <v>87</v>
      </c>
      <c r="B113" s="347">
        <v>1752308.78</v>
      </c>
      <c r="C113" s="307">
        <f t="shared" si="7"/>
        <v>1.6E-2</v>
      </c>
      <c r="D113" s="306">
        <f t="shared" ref="D113:D116" si="12">(B113+(B113*C113))</f>
        <v>1780345.7204800001</v>
      </c>
      <c r="E113" s="360">
        <f t="shared" si="6"/>
        <v>148362.14337333335</v>
      </c>
    </row>
    <row r="114" spans="1:5" x14ac:dyDescent="0.2">
      <c r="A114" s="38" t="s">
        <v>88</v>
      </c>
      <c r="B114" s="347">
        <v>12641899.619999999</v>
      </c>
      <c r="C114" s="307">
        <f t="shared" si="7"/>
        <v>1.6E-2</v>
      </c>
      <c r="D114" s="306">
        <f t="shared" si="12"/>
        <v>12844170.01392</v>
      </c>
      <c r="E114" s="360">
        <f t="shared" si="6"/>
        <v>1070347.50116</v>
      </c>
    </row>
    <row r="115" spans="1:5" x14ac:dyDescent="0.2">
      <c r="A115" s="38" t="s">
        <v>89</v>
      </c>
      <c r="B115" s="347">
        <v>1116404.17</v>
      </c>
      <c r="C115" s="307">
        <f t="shared" si="7"/>
        <v>1.6E-2</v>
      </c>
      <c r="D115" s="306">
        <f t="shared" si="12"/>
        <v>1134266.6367199998</v>
      </c>
      <c r="E115" s="360">
        <f t="shared" si="6"/>
        <v>94522.219726666648</v>
      </c>
    </row>
    <row r="116" spans="1:5" x14ac:dyDescent="0.2">
      <c r="A116" s="38" t="s">
        <v>90</v>
      </c>
      <c r="B116" s="347">
        <v>2529410.63</v>
      </c>
      <c r="C116" s="307">
        <f t="shared" si="7"/>
        <v>1.6E-2</v>
      </c>
      <c r="D116" s="306">
        <f t="shared" si="12"/>
        <v>2569881.2000799999</v>
      </c>
      <c r="E116" s="360">
        <f t="shared" si="6"/>
        <v>214156.76667333333</v>
      </c>
    </row>
    <row r="117" spans="1:5" x14ac:dyDescent="0.2">
      <c r="A117" s="38"/>
      <c r="B117" s="347"/>
      <c r="C117" s="307"/>
      <c r="D117" s="306"/>
      <c r="E117" s="360"/>
    </row>
    <row r="118" spans="1:5" x14ac:dyDescent="0.2">
      <c r="A118" s="38" t="s">
        <v>91</v>
      </c>
      <c r="B118" s="347">
        <v>1329403.92</v>
      </c>
      <c r="C118" s="307">
        <f t="shared" si="7"/>
        <v>1.6E-2</v>
      </c>
      <c r="D118" s="306">
        <f t="shared" ref="D118:D120" si="13">(B118+(B118*C118))</f>
        <v>1350674.3827199999</v>
      </c>
      <c r="E118" s="360">
        <f t="shared" si="6"/>
        <v>112556.19855999999</v>
      </c>
    </row>
    <row r="119" spans="1:5" x14ac:dyDescent="0.2">
      <c r="A119" s="38" t="s">
        <v>92</v>
      </c>
      <c r="B119" s="347">
        <v>8460.16</v>
      </c>
      <c r="C119" s="307">
        <f t="shared" si="7"/>
        <v>1.6E-2</v>
      </c>
      <c r="D119" s="306">
        <f t="shared" si="13"/>
        <v>8595.5225599999994</v>
      </c>
      <c r="E119" s="360">
        <f t="shared" si="6"/>
        <v>716.29354666666666</v>
      </c>
    </row>
    <row r="120" spans="1:5" x14ac:dyDescent="0.2">
      <c r="A120" s="38" t="s">
        <v>93</v>
      </c>
      <c r="B120" s="347">
        <v>6854.62</v>
      </c>
      <c r="C120" s="307">
        <f t="shared" si="7"/>
        <v>1.6E-2</v>
      </c>
      <c r="D120" s="306">
        <f t="shared" si="13"/>
        <v>6964.2939200000001</v>
      </c>
      <c r="E120" s="360">
        <f t="shared" si="6"/>
        <v>580.35782666666671</v>
      </c>
    </row>
    <row r="121" spans="1:5" x14ac:dyDescent="0.2">
      <c r="A121" s="38"/>
      <c r="B121" s="306"/>
      <c r="C121" s="307"/>
      <c r="D121" s="306"/>
      <c r="E121" s="360"/>
    </row>
    <row r="122" spans="1:5" ht="13.5" thickBot="1" x14ac:dyDescent="0.25">
      <c r="A122" s="64" t="s">
        <v>94</v>
      </c>
      <c r="B122" s="348">
        <f>SUM(B107:B120)</f>
        <v>34058678.862894699</v>
      </c>
      <c r="C122" s="307"/>
      <c r="D122" s="318">
        <f>SUM(D107:D120)</f>
        <v>34594740.259261034</v>
      </c>
      <c r="E122" s="360">
        <f t="shared" si="6"/>
        <v>2882895.021605086</v>
      </c>
    </row>
    <row r="123" spans="1:5" ht="13.5" thickTop="1" x14ac:dyDescent="0.2">
      <c r="A123" s="64"/>
      <c r="B123" s="349"/>
      <c r="C123" s="307"/>
      <c r="D123" s="319"/>
      <c r="E123" s="360"/>
    </row>
    <row r="124" spans="1:5" x14ac:dyDescent="0.2">
      <c r="A124" s="38" t="s">
        <v>401</v>
      </c>
      <c r="B124" s="306">
        <f>B122-B107-B108</f>
        <v>33503831.022894699</v>
      </c>
      <c r="C124" s="307"/>
      <c r="D124" s="319"/>
      <c r="E124" s="360"/>
    </row>
    <row r="125" spans="1:5" x14ac:dyDescent="0.2">
      <c r="B125" s="306"/>
      <c r="C125" s="307"/>
      <c r="D125" s="306"/>
      <c r="E125" s="360"/>
    </row>
    <row r="126" spans="1:5" x14ac:dyDescent="0.2">
      <c r="A126" s="39" t="s">
        <v>245</v>
      </c>
      <c r="B126" s="306"/>
      <c r="C126" s="307"/>
      <c r="D126" s="306"/>
      <c r="E126" s="360"/>
    </row>
    <row r="127" spans="1:5" x14ac:dyDescent="0.2">
      <c r="A127" s="39" t="s">
        <v>55</v>
      </c>
      <c r="B127" s="306"/>
      <c r="C127" s="307"/>
      <c r="D127" s="306"/>
      <c r="E127" s="360"/>
    </row>
    <row r="128" spans="1:5" x14ac:dyDescent="0.2">
      <c r="A128" s="38" t="s">
        <v>246</v>
      </c>
      <c r="B128" s="347">
        <v>1233389.3975310398</v>
      </c>
      <c r="C128" s="307">
        <f t="shared" si="7"/>
        <v>1.6E-2</v>
      </c>
      <c r="D128" s="306">
        <f t="shared" ref="D128" si="14">(B128+(B128*C128))</f>
        <v>1253123.6278915363</v>
      </c>
      <c r="E128" s="360">
        <f t="shared" si="6"/>
        <v>104426.96899096137</v>
      </c>
    </row>
    <row r="129" spans="1:5" x14ac:dyDescent="0.2">
      <c r="A129" s="38"/>
      <c r="B129" s="347"/>
      <c r="C129" s="307"/>
      <c r="D129" s="306"/>
      <c r="E129" s="360"/>
    </row>
    <row r="130" spans="1:5" x14ac:dyDescent="0.2">
      <c r="A130" s="38" t="s">
        <v>148</v>
      </c>
      <c r="B130" s="347">
        <v>26798.9</v>
      </c>
      <c r="C130" s="307">
        <f t="shared" si="7"/>
        <v>1.6E-2</v>
      </c>
      <c r="D130" s="306">
        <f t="shared" ref="D130:D131" si="15">(B130+(B130*C130))</f>
        <v>27227.682400000002</v>
      </c>
      <c r="E130" s="360">
        <f t="shared" si="6"/>
        <v>2268.9735333333333</v>
      </c>
    </row>
    <row r="131" spans="1:5" x14ac:dyDescent="0.2">
      <c r="A131" s="38" t="s">
        <v>149</v>
      </c>
      <c r="B131" s="347">
        <v>20028.099999999999</v>
      </c>
      <c r="C131" s="307">
        <f t="shared" si="7"/>
        <v>1.6E-2</v>
      </c>
      <c r="D131" s="306">
        <f t="shared" si="15"/>
        <v>20348.549599999998</v>
      </c>
      <c r="E131" s="360">
        <f t="shared" si="6"/>
        <v>1695.7124666666666</v>
      </c>
    </row>
    <row r="132" spans="1:5" x14ac:dyDescent="0.2">
      <c r="A132" s="38"/>
      <c r="B132" s="306"/>
      <c r="C132" s="307"/>
      <c r="D132" s="306"/>
      <c r="E132" s="360"/>
    </row>
    <row r="133" spans="1:5" ht="13.5" thickBot="1" x14ac:dyDescent="0.25">
      <c r="A133" s="64" t="s">
        <v>247</v>
      </c>
      <c r="B133" s="348">
        <f>SUM(B128:B131)</f>
        <v>1280216.3975310398</v>
      </c>
      <c r="C133" s="307"/>
      <c r="D133" s="318">
        <f>SUM(D128:D131)</f>
        <v>1300699.8598915364</v>
      </c>
      <c r="E133" s="360">
        <f t="shared" si="6"/>
        <v>108391.65499096137</v>
      </c>
    </row>
    <row r="134" spans="1:5" ht="13.5" thickTop="1" x14ac:dyDescent="0.2">
      <c r="B134" s="306"/>
      <c r="C134" s="307"/>
      <c r="D134" s="306"/>
      <c r="E134" s="360"/>
    </row>
    <row r="135" spans="1:5" x14ac:dyDescent="0.2">
      <c r="A135" s="39" t="s">
        <v>248</v>
      </c>
      <c r="B135" s="306"/>
      <c r="C135" s="307"/>
      <c r="D135" s="306"/>
      <c r="E135" s="360"/>
    </row>
    <row r="136" spans="1:5" x14ac:dyDescent="0.2">
      <c r="A136" s="39" t="s">
        <v>346</v>
      </c>
      <c r="B136" s="306"/>
      <c r="C136" s="307"/>
      <c r="D136" s="306"/>
      <c r="E136" s="360"/>
    </row>
    <row r="137" spans="1:5" x14ac:dyDescent="0.2">
      <c r="A137" s="38" t="s">
        <v>249</v>
      </c>
      <c r="B137" s="308">
        <v>55077.84</v>
      </c>
      <c r="C137" s="307"/>
      <c r="D137" s="308">
        <f>55077.86</f>
        <v>55077.86</v>
      </c>
      <c r="E137" s="360">
        <f t="shared" si="6"/>
        <v>4589.8216666666667</v>
      </c>
    </row>
    <row r="138" spans="1:5" x14ac:dyDescent="0.2">
      <c r="A138" s="38"/>
      <c r="B138" s="306"/>
      <c r="C138" s="307"/>
      <c r="D138" s="306"/>
      <c r="E138" s="360"/>
    </row>
    <row r="139" spans="1:5" x14ac:dyDescent="0.2">
      <c r="A139" s="39" t="s">
        <v>55</v>
      </c>
      <c r="B139" s="306"/>
      <c r="C139" s="307"/>
      <c r="D139" s="306"/>
      <c r="E139" s="360"/>
    </row>
    <row r="140" spans="1:5" x14ac:dyDescent="0.2">
      <c r="A140" s="38" t="s">
        <v>250</v>
      </c>
      <c r="B140" s="347">
        <v>5917265.0400587637</v>
      </c>
      <c r="C140" s="307">
        <f t="shared" si="7"/>
        <v>1.6E-2</v>
      </c>
      <c r="D140" s="306">
        <f t="shared" ref="D140" si="16">(B140+(B140*C140))</f>
        <v>6011941.2806997038</v>
      </c>
      <c r="E140" s="360">
        <f t="shared" ref="E140:E201" si="17">SUM(D140/12)</f>
        <v>500995.10672497534</v>
      </c>
    </row>
    <row r="141" spans="1:5" x14ac:dyDescent="0.2">
      <c r="A141" s="38"/>
      <c r="B141" s="347"/>
      <c r="C141" s="307"/>
      <c r="D141" s="306"/>
      <c r="E141" s="360"/>
    </row>
    <row r="142" spans="1:5" x14ac:dyDescent="0.2">
      <c r="A142" s="38" t="s">
        <v>251</v>
      </c>
      <c r="B142" s="347">
        <v>1487.2</v>
      </c>
      <c r="C142" s="307">
        <f t="shared" si="7"/>
        <v>1.6E-2</v>
      </c>
      <c r="D142" s="306">
        <f t="shared" ref="D142:D143" si="18">(B142+(B142*C142))</f>
        <v>1510.9952000000001</v>
      </c>
      <c r="E142" s="360">
        <f t="shared" si="17"/>
        <v>125.91626666666667</v>
      </c>
    </row>
    <row r="143" spans="1:5" x14ac:dyDescent="0.2">
      <c r="A143" s="38" t="s">
        <v>12</v>
      </c>
      <c r="B143" s="347">
        <v>3704.82</v>
      </c>
      <c r="C143" s="307">
        <f t="shared" si="7"/>
        <v>1.6E-2</v>
      </c>
      <c r="D143" s="306">
        <f t="shared" si="18"/>
        <v>3764.0971200000004</v>
      </c>
      <c r="E143" s="360">
        <f t="shared" si="17"/>
        <v>313.67476000000005</v>
      </c>
    </row>
    <row r="144" spans="1:5" x14ac:dyDescent="0.2">
      <c r="A144" s="38"/>
      <c r="B144" s="347"/>
      <c r="C144" s="307"/>
      <c r="D144" s="306"/>
      <c r="E144" s="360"/>
    </row>
    <row r="145" spans="1:5" x14ac:dyDescent="0.2">
      <c r="A145" s="39" t="s">
        <v>60</v>
      </c>
      <c r="B145" s="347"/>
      <c r="C145" s="307"/>
      <c r="D145" s="306"/>
      <c r="E145" s="360"/>
    </row>
    <row r="146" spans="1:5" x14ac:dyDescent="0.2">
      <c r="A146" s="38" t="s">
        <v>252</v>
      </c>
      <c r="B146" s="347">
        <v>5718.68</v>
      </c>
      <c r="C146" s="307">
        <f>$C$6</f>
        <v>1.6E-2</v>
      </c>
      <c r="D146" s="306">
        <f t="shared" ref="D146:D147" si="19">(B146+(B146*C146))</f>
        <v>5810.1788800000004</v>
      </c>
      <c r="E146" s="360">
        <f t="shared" si="17"/>
        <v>484.18157333333335</v>
      </c>
    </row>
    <row r="147" spans="1:5" x14ac:dyDescent="0.2">
      <c r="A147" s="38" t="s">
        <v>253</v>
      </c>
      <c r="B147" s="347">
        <v>5718.68</v>
      </c>
      <c r="C147" s="307">
        <f>$C$6</f>
        <v>1.6E-2</v>
      </c>
      <c r="D147" s="306">
        <f t="shared" si="19"/>
        <v>5810.1788800000004</v>
      </c>
      <c r="E147" s="360">
        <f t="shared" si="17"/>
        <v>484.18157333333335</v>
      </c>
    </row>
    <row r="148" spans="1:5" x14ac:dyDescent="0.2">
      <c r="A148" s="38"/>
      <c r="B148" s="306"/>
      <c r="C148" s="307"/>
      <c r="D148" s="306"/>
      <c r="E148" s="360"/>
    </row>
    <row r="149" spans="1:5" ht="13.5" thickBot="1" x14ac:dyDescent="0.25">
      <c r="A149" s="64" t="s">
        <v>254</v>
      </c>
      <c r="B149" s="348">
        <f>SUM(B137:B147)</f>
        <v>5988972.2600587634</v>
      </c>
      <c r="C149" s="307"/>
      <c r="D149" s="318">
        <f>SUM(D137:D147)</f>
        <v>6083914.5907797031</v>
      </c>
      <c r="E149" s="360">
        <f t="shared" si="17"/>
        <v>506992.88256497524</v>
      </c>
    </row>
    <row r="150" spans="1:5" ht="13.5" thickTop="1" x14ac:dyDescent="0.2">
      <c r="A150" s="64"/>
      <c r="B150" s="349"/>
      <c r="C150" s="307"/>
      <c r="D150" s="319"/>
      <c r="E150" s="360"/>
    </row>
    <row r="151" spans="1:5" x14ac:dyDescent="0.2">
      <c r="A151" s="38" t="s">
        <v>401</v>
      </c>
      <c r="B151" s="306">
        <f>B149-B137</f>
        <v>5933894.4200587636</v>
      </c>
      <c r="C151" s="307"/>
      <c r="D151" s="319"/>
      <c r="E151" s="360"/>
    </row>
    <row r="152" spans="1:5" x14ac:dyDescent="0.2">
      <c r="B152" s="306"/>
      <c r="C152" s="307"/>
      <c r="D152" s="306"/>
      <c r="E152" s="360"/>
    </row>
    <row r="153" spans="1:5" x14ac:dyDescent="0.2">
      <c r="A153" s="39" t="s">
        <v>321</v>
      </c>
      <c r="B153" s="306"/>
      <c r="C153" s="307"/>
      <c r="D153" s="306"/>
      <c r="E153" s="360"/>
    </row>
    <row r="154" spans="1:5" x14ac:dyDescent="0.2">
      <c r="A154" s="39" t="s">
        <v>55</v>
      </c>
      <c r="B154" s="306"/>
      <c r="C154" s="307"/>
      <c r="D154" s="306"/>
      <c r="E154" s="360"/>
    </row>
    <row r="155" spans="1:5" x14ac:dyDescent="0.2">
      <c r="A155" s="38" t="s">
        <v>255</v>
      </c>
      <c r="B155" s="347">
        <v>11771024.070568414</v>
      </c>
      <c r="C155" s="307">
        <f>$C$6</f>
        <v>1.6E-2</v>
      </c>
      <c r="D155" s="306">
        <f t="shared" ref="D155" si="20">(B155+(B155*C155))</f>
        <v>11959360.455697509</v>
      </c>
      <c r="E155" s="360">
        <f t="shared" si="17"/>
        <v>996613.37130812567</v>
      </c>
    </row>
    <row r="156" spans="1:5" x14ac:dyDescent="0.2">
      <c r="A156" s="38"/>
      <c r="B156" s="347"/>
      <c r="C156" s="307"/>
      <c r="D156" s="306"/>
      <c r="E156" s="360"/>
    </row>
    <row r="157" spans="1:5" x14ac:dyDescent="0.2">
      <c r="A157" s="38" t="s">
        <v>156</v>
      </c>
      <c r="B157" s="347">
        <v>4432071.3099999996</v>
      </c>
      <c r="C157" s="307">
        <f>$C$6</f>
        <v>1.6E-2</v>
      </c>
      <c r="D157" s="306">
        <f t="shared" ref="D157" si="21">(B157+(B157*C157))</f>
        <v>4502984.4509599991</v>
      </c>
      <c r="E157" s="360">
        <f t="shared" si="17"/>
        <v>375248.70424666657</v>
      </c>
    </row>
    <row r="158" spans="1:5" x14ac:dyDescent="0.2">
      <c r="A158" s="38"/>
      <c r="B158" s="347"/>
      <c r="C158" s="307"/>
      <c r="D158" s="306"/>
      <c r="E158" s="360"/>
    </row>
    <row r="159" spans="1:5" x14ac:dyDescent="0.2">
      <c r="A159" s="39" t="s">
        <v>60</v>
      </c>
      <c r="B159" s="347"/>
      <c r="C159" s="307"/>
      <c r="D159" s="306"/>
      <c r="E159" s="360"/>
    </row>
    <row r="160" spans="1:5" x14ac:dyDescent="0.2">
      <c r="A160" s="38" t="s">
        <v>256</v>
      </c>
      <c r="B160" s="347">
        <v>435518.94</v>
      </c>
      <c r="C160" s="307">
        <f t="shared" ref="C160:C168" si="22">$C$6</f>
        <v>1.6E-2</v>
      </c>
      <c r="D160" s="306">
        <f t="shared" ref="D160:D168" si="23">(B160+(B160*C160))</f>
        <v>442487.24304000003</v>
      </c>
      <c r="E160" s="360">
        <f t="shared" si="17"/>
        <v>36873.93692</v>
      </c>
    </row>
    <row r="161" spans="1:5" x14ac:dyDescent="0.2">
      <c r="A161" s="38" t="s">
        <v>257</v>
      </c>
      <c r="B161" s="347">
        <v>36208.44</v>
      </c>
      <c r="C161" s="307">
        <f t="shared" si="22"/>
        <v>1.6E-2</v>
      </c>
      <c r="D161" s="306">
        <f t="shared" si="23"/>
        <v>36787.77504</v>
      </c>
      <c r="E161" s="360">
        <f t="shared" si="17"/>
        <v>3065.6479199999999</v>
      </c>
    </row>
    <row r="162" spans="1:5" x14ac:dyDescent="0.2">
      <c r="A162" s="38" t="s">
        <v>258</v>
      </c>
      <c r="B162" s="347">
        <v>1252875.83</v>
      </c>
      <c r="C162" s="307">
        <f t="shared" si="22"/>
        <v>1.6E-2</v>
      </c>
      <c r="D162" s="306">
        <f t="shared" si="23"/>
        <v>1272921.8432800001</v>
      </c>
      <c r="E162" s="360">
        <f t="shared" si="17"/>
        <v>106076.82027333335</v>
      </c>
    </row>
    <row r="163" spans="1:5" x14ac:dyDescent="0.2">
      <c r="A163" s="38" t="s">
        <v>259</v>
      </c>
      <c r="B163" s="347">
        <v>4058.26</v>
      </c>
      <c r="C163" s="307">
        <f t="shared" si="22"/>
        <v>1.6E-2</v>
      </c>
      <c r="D163" s="306">
        <f t="shared" si="23"/>
        <v>4123.1921600000005</v>
      </c>
      <c r="E163" s="360">
        <f t="shared" si="17"/>
        <v>343.59934666666669</v>
      </c>
    </row>
    <row r="164" spans="1:5" x14ac:dyDescent="0.2">
      <c r="A164" s="38" t="s">
        <v>260</v>
      </c>
      <c r="B164" s="347">
        <v>41574.620000000003</v>
      </c>
      <c r="C164" s="307">
        <f t="shared" si="22"/>
        <v>1.6E-2</v>
      </c>
      <c r="D164" s="306">
        <f t="shared" si="23"/>
        <v>42239.813920000001</v>
      </c>
      <c r="E164" s="360">
        <f t="shared" si="17"/>
        <v>3519.9844933333334</v>
      </c>
    </row>
    <row r="165" spans="1:5" x14ac:dyDescent="0.2">
      <c r="A165" s="38" t="s">
        <v>261</v>
      </c>
      <c r="B165" s="347">
        <v>51936.06</v>
      </c>
      <c r="C165" s="307">
        <f t="shared" si="22"/>
        <v>1.6E-2</v>
      </c>
      <c r="D165" s="306">
        <f t="shared" si="23"/>
        <v>52767.036959999998</v>
      </c>
      <c r="E165" s="360">
        <f t="shared" si="17"/>
        <v>4397.2530799999995</v>
      </c>
    </row>
    <row r="166" spans="1:5" x14ac:dyDescent="0.2">
      <c r="A166" s="38" t="s">
        <v>262</v>
      </c>
      <c r="B166" s="347">
        <v>41589.589999999997</v>
      </c>
      <c r="C166" s="307">
        <f t="shared" si="22"/>
        <v>1.6E-2</v>
      </c>
      <c r="D166" s="306">
        <f t="shared" si="23"/>
        <v>42255.023439999997</v>
      </c>
      <c r="E166" s="360">
        <f t="shared" si="17"/>
        <v>3521.2519533333329</v>
      </c>
    </row>
    <row r="167" spans="1:5" x14ac:dyDescent="0.2">
      <c r="A167" s="38" t="s">
        <v>263</v>
      </c>
      <c r="B167" s="347">
        <v>11817.3</v>
      </c>
      <c r="C167" s="307">
        <f t="shared" si="22"/>
        <v>1.6E-2</v>
      </c>
      <c r="D167" s="306">
        <f t="shared" si="23"/>
        <v>12006.3768</v>
      </c>
      <c r="E167" s="360">
        <f t="shared" si="17"/>
        <v>1000.5314</v>
      </c>
    </row>
    <row r="168" spans="1:5" x14ac:dyDescent="0.2">
      <c r="A168" s="38" t="s">
        <v>264</v>
      </c>
      <c r="B168" s="347">
        <v>206578.46</v>
      </c>
      <c r="C168" s="307">
        <f t="shared" si="22"/>
        <v>1.6E-2</v>
      </c>
      <c r="D168" s="306">
        <f t="shared" si="23"/>
        <v>209883.71536</v>
      </c>
      <c r="E168" s="360">
        <f t="shared" si="17"/>
        <v>17490.309613333335</v>
      </c>
    </row>
    <row r="169" spans="1:5" x14ac:dyDescent="0.2">
      <c r="A169" s="38"/>
      <c r="B169" s="306"/>
      <c r="C169" s="307"/>
      <c r="D169" s="306"/>
      <c r="E169" s="360"/>
    </row>
    <row r="170" spans="1:5" ht="13.5" thickBot="1" x14ac:dyDescent="0.25">
      <c r="A170" s="64" t="s">
        <v>265</v>
      </c>
      <c r="B170" s="348">
        <f>SUM(B155:B168)</f>
        <v>18285252.880568419</v>
      </c>
      <c r="C170" s="307"/>
      <c r="D170" s="318">
        <f>SUM(D155:D168)</f>
        <v>18577816.926657505</v>
      </c>
      <c r="E170" s="360">
        <f t="shared" si="17"/>
        <v>1548151.410554792</v>
      </c>
    </row>
    <row r="171" spans="1:5" ht="13.5" thickTop="1" x14ac:dyDescent="0.2">
      <c r="B171" s="306"/>
      <c r="C171" s="307"/>
      <c r="D171" s="306"/>
      <c r="E171" s="360"/>
    </row>
    <row r="172" spans="1:5" x14ac:dyDescent="0.2">
      <c r="A172" s="39" t="s">
        <v>266</v>
      </c>
      <c r="B172" s="306"/>
      <c r="C172" s="307"/>
      <c r="D172" s="306"/>
      <c r="E172" s="360"/>
    </row>
    <row r="173" spans="1:5" x14ac:dyDescent="0.2">
      <c r="A173" s="39" t="s">
        <v>346</v>
      </c>
      <c r="B173" s="306"/>
      <c r="C173" s="307"/>
      <c r="D173" s="306"/>
      <c r="E173" s="360"/>
    </row>
    <row r="174" spans="1:5" x14ac:dyDescent="0.2">
      <c r="A174" s="38" t="s">
        <v>267</v>
      </c>
      <c r="B174" s="308">
        <v>3554.04</v>
      </c>
      <c r="C174" s="307"/>
      <c r="D174" s="308">
        <f>3554</f>
        <v>3554</v>
      </c>
      <c r="E174" s="360">
        <f t="shared" si="17"/>
        <v>296.16666666666669</v>
      </c>
    </row>
    <row r="175" spans="1:5" x14ac:dyDescent="0.2">
      <c r="A175" s="38"/>
      <c r="B175" s="306"/>
      <c r="C175" s="307"/>
      <c r="D175" s="306"/>
      <c r="E175" s="360"/>
    </row>
    <row r="176" spans="1:5" x14ac:dyDescent="0.2">
      <c r="A176" s="39" t="s">
        <v>55</v>
      </c>
      <c r="B176" s="306"/>
      <c r="C176" s="307"/>
      <c r="D176" s="306"/>
      <c r="E176" s="360"/>
    </row>
    <row r="177" spans="1:5" x14ac:dyDescent="0.2">
      <c r="A177" s="38" t="s">
        <v>268</v>
      </c>
      <c r="B177" s="347">
        <v>3528031.3476444804</v>
      </c>
      <c r="C177" s="307">
        <f>$C$6</f>
        <v>1.6E-2</v>
      </c>
      <c r="D177" s="306">
        <f t="shared" ref="D177" si="24">(B177+(B177*C177))</f>
        <v>3584479.8492067922</v>
      </c>
      <c r="E177" s="360">
        <f t="shared" si="17"/>
        <v>298706.654100566</v>
      </c>
    </row>
    <row r="178" spans="1:5" x14ac:dyDescent="0.2">
      <c r="A178" s="38"/>
      <c r="B178" s="347"/>
      <c r="C178" s="307"/>
      <c r="D178" s="306"/>
      <c r="E178" s="360"/>
    </row>
    <row r="179" spans="1:5" x14ac:dyDescent="0.2">
      <c r="A179" s="38" t="s">
        <v>167</v>
      </c>
      <c r="B179" s="347">
        <v>14673.77</v>
      </c>
      <c r="C179" s="307">
        <f>$C$6</f>
        <v>1.6E-2</v>
      </c>
      <c r="D179" s="306">
        <f t="shared" ref="D179:D181" si="25">(B179+(B179*C179))</f>
        <v>14908.55032</v>
      </c>
      <c r="E179" s="360">
        <f t="shared" si="17"/>
        <v>1242.3791933333334</v>
      </c>
    </row>
    <row r="180" spans="1:5" x14ac:dyDescent="0.2">
      <c r="A180" s="38" t="s">
        <v>168</v>
      </c>
      <c r="B180" s="347">
        <v>219245.41</v>
      </c>
      <c r="C180" s="307">
        <f>$C$6</f>
        <v>1.6E-2</v>
      </c>
      <c r="D180" s="306">
        <f t="shared" si="25"/>
        <v>222753.33656</v>
      </c>
      <c r="E180" s="360">
        <f t="shared" si="17"/>
        <v>18562.778046666666</v>
      </c>
    </row>
    <row r="181" spans="1:5" x14ac:dyDescent="0.2">
      <c r="A181" s="38" t="s">
        <v>169</v>
      </c>
      <c r="B181" s="347">
        <v>19574.47</v>
      </c>
      <c r="C181" s="307">
        <f>$C$6</f>
        <v>1.6E-2</v>
      </c>
      <c r="D181" s="306">
        <f t="shared" si="25"/>
        <v>19887.661520000001</v>
      </c>
      <c r="E181" s="360">
        <f t="shared" si="17"/>
        <v>1657.3051266666669</v>
      </c>
    </row>
    <row r="182" spans="1:5" x14ac:dyDescent="0.2">
      <c r="A182" s="38"/>
      <c r="B182" s="347"/>
      <c r="C182" s="307"/>
      <c r="D182" s="306"/>
      <c r="E182" s="360"/>
    </row>
    <row r="183" spans="1:5" x14ac:dyDescent="0.2">
      <c r="A183" s="39" t="s">
        <v>60</v>
      </c>
      <c r="B183" s="347"/>
      <c r="C183" s="307"/>
      <c r="D183" s="306"/>
      <c r="E183" s="360"/>
    </row>
    <row r="184" spans="1:5" x14ac:dyDescent="0.2">
      <c r="A184" s="38" t="s">
        <v>269</v>
      </c>
      <c r="B184" s="347">
        <v>688376.35</v>
      </c>
      <c r="C184" s="307">
        <f>$C$6</f>
        <v>1.6E-2</v>
      </c>
      <c r="D184" s="306">
        <f t="shared" ref="D184" si="26">(B184+(B184*C184))</f>
        <v>699390.37159999995</v>
      </c>
      <c r="E184" s="360">
        <f t="shared" si="17"/>
        <v>58282.530966666665</v>
      </c>
    </row>
    <row r="185" spans="1:5" x14ac:dyDescent="0.2">
      <c r="A185" s="38"/>
      <c r="B185" s="306"/>
      <c r="C185" s="307"/>
      <c r="D185" s="306"/>
      <c r="E185" s="360"/>
    </row>
    <row r="186" spans="1:5" ht="13.5" thickBot="1" x14ac:dyDescent="0.25">
      <c r="A186" s="64" t="s">
        <v>270</v>
      </c>
      <c r="B186" s="348">
        <f>SUM(B174:B184)</f>
        <v>4473455.3876444809</v>
      </c>
      <c r="C186" s="307"/>
      <c r="D186" s="318">
        <f>SUM(D174:D184)</f>
        <v>4544973.7692067921</v>
      </c>
      <c r="E186" s="360">
        <f t="shared" si="17"/>
        <v>378747.81410056603</v>
      </c>
    </row>
    <row r="187" spans="1:5" ht="13.5" thickTop="1" x14ac:dyDescent="0.2">
      <c r="A187" s="64"/>
      <c r="B187" s="349"/>
      <c r="C187" s="307"/>
      <c r="D187" s="319"/>
      <c r="E187" s="360"/>
    </row>
    <row r="188" spans="1:5" x14ac:dyDescent="0.2">
      <c r="A188" s="38" t="s">
        <v>401</v>
      </c>
      <c r="B188" s="306">
        <f>B186-B174</f>
        <v>4469901.3476444809</v>
      </c>
      <c r="C188" s="307"/>
      <c r="D188" s="319"/>
      <c r="E188" s="360"/>
    </row>
    <row r="189" spans="1:5" x14ac:dyDescent="0.2">
      <c r="B189" s="306"/>
      <c r="C189" s="307"/>
      <c r="D189" s="306"/>
      <c r="E189" s="360"/>
    </row>
    <row r="190" spans="1:5" x14ac:dyDescent="0.2">
      <c r="A190" s="39" t="s">
        <v>271</v>
      </c>
      <c r="B190" s="306"/>
      <c r="C190" s="307"/>
      <c r="D190" s="306"/>
      <c r="E190" s="360"/>
    </row>
    <row r="191" spans="1:5" x14ac:dyDescent="0.2">
      <c r="A191" s="39" t="s">
        <v>55</v>
      </c>
      <c r="B191" s="306"/>
      <c r="C191" s="307"/>
      <c r="D191" s="306"/>
      <c r="E191" s="360"/>
    </row>
    <row r="192" spans="1:5" x14ac:dyDescent="0.2">
      <c r="A192" s="38" t="s">
        <v>272</v>
      </c>
      <c r="B192" s="347">
        <v>1216787.3324889082</v>
      </c>
      <c r="C192" s="307">
        <f>$C$6</f>
        <v>1.6E-2</v>
      </c>
      <c r="D192" s="306">
        <f t="shared" ref="D192" si="27">(B192+(B192*C192))</f>
        <v>1236255.9298087307</v>
      </c>
      <c r="E192" s="360">
        <f t="shared" si="17"/>
        <v>103021.32748406089</v>
      </c>
    </row>
    <row r="193" spans="1:5" x14ac:dyDescent="0.2">
      <c r="A193" s="38"/>
      <c r="B193" s="347"/>
      <c r="C193" s="307"/>
      <c r="D193" s="306"/>
      <c r="E193" s="360"/>
    </row>
    <row r="194" spans="1:5" x14ac:dyDescent="0.2">
      <c r="A194" s="38" t="s">
        <v>173</v>
      </c>
      <c r="B194" s="347">
        <v>136392.34</v>
      </c>
      <c r="C194" s="307">
        <f>$C$6</f>
        <v>1.6E-2</v>
      </c>
      <c r="D194" s="306">
        <f t="shared" ref="D194" si="28">(B194+(B194*C194))</f>
        <v>138574.61744</v>
      </c>
      <c r="E194" s="360">
        <f t="shared" si="17"/>
        <v>11547.884786666667</v>
      </c>
    </row>
    <row r="195" spans="1:5" x14ac:dyDescent="0.2">
      <c r="A195" s="38"/>
      <c r="B195" s="347"/>
      <c r="C195" s="307"/>
      <c r="D195" s="306"/>
      <c r="E195" s="360"/>
    </row>
    <row r="196" spans="1:5" x14ac:dyDescent="0.2">
      <c r="A196" s="38" t="s">
        <v>174</v>
      </c>
      <c r="B196" s="347">
        <v>20701.29</v>
      </c>
      <c r="C196" s="307">
        <f>$C$6</f>
        <v>1.6E-2</v>
      </c>
      <c r="D196" s="306">
        <f t="shared" ref="D196:D198" si="29">(B196+(B196*C196))</f>
        <v>21032.51064</v>
      </c>
      <c r="E196" s="360">
        <f t="shared" si="17"/>
        <v>1752.70922</v>
      </c>
    </row>
    <row r="197" spans="1:5" x14ac:dyDescent="0.2">
      <c r="A197" s="38" t="s">
        <v>175</v>
      </c>
      <c r="B197" s="347">
        <v>37507.29</v>
      </c>
      <c r="C197" s="307">
        <f>$C$6</f>
        <v>1.6E-2</v>
      </c>
      <c r="D197" s="306">
        <f t="shared" si="29"/>
        <v>38107.406640000001</v>
      </c>
      <c r="E197" s="360">
        <f t="shared" si="17"/>
        <v>3175.6172200000001</v>
      </c>
    </row>
    <row r="198" spans="1:5" x14ac:dyDescent="0.2">
      <c r="A198" s="38" t="s">
        <v>176</v>
      </c>
      <c r="B198" s="347">
        <v>49983.25</v>
      </c>
      <c r="C198" s="307">
        <f>$C$6</f>
        <v>1.6E-2</v>
      </c>
      <c r="D198" s="306">
        <f t="shared" si="29"/>
        <v>50782.982000000004</v>
      </c>
      <c r="E198" s="360">
        <f t="shared" si="17"/>
        <v>4231.9151666666667</v>
      </c>
    </row>
    <row r="199" spans="1:5" x14ac:dyDescent="0.2">
      <c r="A199" s="38"/>
      <c r="B199" s="347"/>
      <c r="C199" s="307"/>
      <c r="D199" s="306"/>
      <c r="E199" s="360"/>
    </row>
    <row r="200" spans="1:5" x14ac:dyDescent="0.2">
      <c r="A200" s="39" t="s">
        <v>60</v>
      </c>
      <c r="B200" s="347"/>
      <c r="C200" s="307"/>
      <c r="D200" s="306"/>
      <c r="E200" s="360"/>
    </row>
    <row r="201" spans="1:5" x14ac:dyDescent="0.2">
      <c r="A201" s="38" t="s">
        <v>273</v>
      </c>
      <c r="B201" s="347">
        <v>128273.47</v>
      </c>
      <c r="C201" s="307">
        <f>$C$6</f>
        <v>1.6E-2</v>
      </c>
      <c r="D201" s="306">
        <f t="shared" ref="D201:D203" si="30">(B201+(B201*C201))</f>
        <v>130325.84552</v>
      </c>
      <c r="E201" s="360">
        <f t="shared" si="17"/>
        <v>10860.487126666667</v>
      </c>
    </row>
    <row r="202" spans="1:5" x14ac:dyDescent="0.2">
      <c r="A202" s="38" t="s">
        <v>274</v>
      </c>
      <c r="B202" s="347">
        <v>48263.49</v>
      </c>
      <c r="C202" s="307">
        <f>$C$6</f>
        <v>1.6E-2</v>
      </c>
      <c r="D202" s="306">
        <f t="shared" si="30"/>
        <v>49035.705839999995</v>
      </c>
      <c r="E202" s="360">
        <f t="shared" ref="E202:E263" si="31">SUM(D202/12)</f>
        <v>4086.3088199999997</v>
      </c>
    </row>
    <row r="203" spans="1:5" x14ac:dyDescent="0.2">
      <c r="A203" s="38" t="s">
        <v>275</v>
      </c>
      <c r="B203" s="347">
        <v>27395.200000000001</v>
      </c>
      <c r="C203" s="307">
        <f>$C$6</f>
        <v>1.6E-2</v>
      </c>
      <c r="D203" s="306">
        <f t="shared" si="30"/>
        <v>27833.5232</v>
      </c>
      <c r="E203" s="360">
        <f t="shared" si="31"/>
        <v>2319.4602666666665</v>
      </c>
    </row>
    <row r="204" spans="1:5" x14ac:dyDescent="0.2">
      <c r="A204" s="38"/>
      <c r="B204" s="306"/>
      <c r="C204" s="307"/>
      <c r="D204" s="306"/>
      <c r="E204" s="360"/>
    </row>
    <row r="205" spans="1:5" ht="13.5" thickBot="1" x14ac:dyDescent="0.25">
      <c r="A205" s="64" t="s">
        <v>276</v>
      </c>
      <c r="B205" s="348">
        <f>SUM(B192:B203)</f>
        <v>1665303.6624889083</v>
      </c>
      <c r="C205" s="307"/>
      <c r="D205" s="318">
        <f>SUM(D192:D203)</f>
        <v>1691948.5210887305</v>
      </c>
      <c r="E205" s="360">
        <f t="shared" si="31"/>
        <v>140995.71009072755</v>
      </c>
    </row>
    <row r="206" spans="1:5" ht="13.5" thickTop="1" x14ac:dyDescent="0.2">
      <c r="B206" s="306"/>
      <c r="C206" s="307"/>
      <c r="D206" s="306"/>
      <c r="E206" s="360"/>
    </row>
    <row r="207" spans="1:5" x14ac:dyDescent="0.2">
      <c r="A207" s="39" t="s">
        <v>277</v>
      </c>
      <c r="B207" s="306"/>
      <c r="C207" s="307"/>
      <c r="D207" s="306"/>
      <c r="E207" s="360"/>
    </row>
    <row r="208" spans="1:5" x14ac:dyDescent="0.2">
      <c r="A208" s="39" t="s">
        <v>320</v>
      </c>
      <c r="B208" s="306"/>
      <c r="C208" s="307"/>
      <c r="D208" s="306"/>
      <c r="E208" s="360"/>
    </row>
    <row r="209" spans="1:5" x14ac:dyDescent="0.2">
      <c r="A209" s="38" t="s">
        <v>278</v>
      </c>
      <c r="B209" s="308">
        <v>19064.04</v>
      </c>
      <c r="C209" s="307"/>
      <c r="D209" s="308">
        <f>19064</f>
        <v>19064</v>
      </c>
      <c r="E209" s="360">
        <f t="shared" si="31"/>
        <v>1588.6666666666667</v>
      </c>
    </row>
    <row r="210" spans="1:5" x14ac:dyDescent="0.2">
      <c r="A210" s="38" t="s">
        <v>279</v>
      </c>
      <c r="B210" s="308">
        <v>2303.64</v>
      </c>
      <c r="C210" s="307"/>
      <c r="D210" s="308">
        <f>2303.6</f>
        <v>2303.6</v>
      </c>
      <c r="E210" s="360">
        <f t="shared" si="31"/>
        <v>191.96666666666667</v>
      </c>
    </row>
    <row r="211" spans="1:5" x14ac:dyDescent="0.2">
      <c r="A211" s="38"/>
      <c r="B211" s="306"/>
      <c r="C211" s="307"/>
      <c r="D211" s="306"/>
      <c r="E211" s="360"/>
    </row>
    <row r="212" spans="1:5" x14ac:dyDescent="0.2">
      <c r="A212" s="39" t="s">
        <v>55</v>
      </c>
      <c r="B212" s="306"/>
      <c r="C212" s="307"/>
      <c r="D212" s="306"/>
      <c r="E212" s="360"/>
    </row>
    <row r="213" spans="1:5" x14ac:dyDescent="0.2">
      <c r="A213" s="38" t="s">
        <v>180</v>
      </c>
      <c r="B213" s="347">
        <v>13513133.29555642</v>
      </c>
      <c r="C213" s="307">
        <f t="shared" ref="C213:C272" si="32">$C$6</f>
        <v>1.6E-2</v>
      </c>
      <c r="D213" s="306">
        <f t="shared" ref="D213" si="33">(B213+(B213*C213))</f>
        <v>13729343.428285323</v>
      </c>
      <c r="E213" s="360">
        <f t="shared" si="31"/>
        <v>1144111.9523571103</v>
      </c>
    </row>
    <row r="214" spans="1:5" x14ac:dyDescent="0.2">
      <c r="A214" s="38"/>
      <c r="B214" s="347"/>
      <c r="C214" s="307"/>
      <c r="D214" s="306"/>
      <c r="E214" s="360"/>
    </row>
    <row r="215" spans="1:5" x14ac:dyDescent="0.2">
      <c r="A215" s="38" t="s">
        <v>182</v>
      </c>
      <c r="B215" s="347">
        <v>141717.32</v>
      </c>
      <c r="C215" s="307">
        <f t="shared" si="32"/>
        <v>1.6E-2</v>
      </c>
      <c r="D215" s="306">
        <f t="shared" ref="D215:D216" si="34">(B215+(B215*C215))</f>
        <v>143984.79712</v>
      </c>
      <c r="E215" s="360">
        <f t="shared" si="31"/>
        <v>11998.733093333334</v>
      </c>
    </row>
    <row r="216" spans="1:5" x14ac:dyDescent="0.2">
      <c r="A216" s="38" t="s">
        <v>181</v>
      </c>
      <c r="B216" s="347">
        <v>391347.39</v>
      </c>
      <c r="C216" s="307">
        <f t="shared" si="32"/>
        <v>1.6E-2</v>
      </c>
      <c r="D216" s="306">
        <f t="shared" si="34"/>
        <v>397608.94824</v>
      </c>
      <c r="E216" s="360">
        <f t="shared" si="31"/>
        <v>33134.079019999997</v>
      </c>
    </row>
    <row r="217" spans="1:5" x14ac:dyDescent="0.2">
      <c r="A217" s="38"/>
      <c r="B217" s="347"/>
      <c r="C217" s="307"/>
      <c r="D217" s="306"/>
      <c r="E217" s="360"/>
    </row>
    <row r="218" spans="1:5" x14ac:dyDescent="0.2">
      <c r="A218" s="39" t="s">
        <v>60</v>
      </c>
      <c r="B218" s="347"/>
      <c r="C218" s="307"/>
      <c r="D218" s="306"/>
      <c r="E218" s="360"/>
    </row>
    <row r="219" spans="1:5" x14ac:dyDescent="0.2">
      <c r="A219" s="38" t="s">
        <v>61</v>
      </c>
      <c r="B219" s="347">
        <v>9743.27</v>
      </c>
      <c r="C219" s="307">
        <f t="shared" si="32"/>
        <v>1.6E-2</v>
      </c>
      <c r="D219" s="306">
        <f t="shared" ref="D219:D226" si="35">(B219+(B219*C219))</f>
        <v>9899.1623200000013</v>
      </c>
      <c r="E219" s="360">
        <f t="shared" si="31"/>
        <v>824.93019333333348</v>
      </c>
    </row>
    <row r="220" spans="1:5" x14ac:dyDescent="0.2">
      <c r="A220" s="38" t="s">
        <v>280</v>
      </c>
      <c r="B220" s="347">
        <v>513627.03</v>
      </c>
      <c r="C220" s="307">
        <f t="shared" si="32"/>
        <v>1.6E-2</v>
      </c>
      <c r="D220" s="306">
        <f t="shared" si="35"/>
        <v>521845.06248000002</v>
      </c>
      <c r="E220" s="360">
        <f t="shared" si="31"/>
        <v>43487.088540000004</v>
      </c>
    </row>
    <row r="221" spans="1:5" x14ac:dyDescent="0.2">
      <c r="A221" s="38" t="s">
        <v>281</v>
      </c>
      <c r="B221" s="347">
        <v>75799.42</v>
      </c>
      <c r="C221" s="307">
        <f t="shared" si="32"/>
        <v>1.6E-2</v>
      </c>
      <c r="D221" s="306">
        <f t="shared" si="35"/>
        <v>77012.210720000003</v>
      </c>
      <c r="E221" s="360">
        <f t="shared" si="31"/>
        <v>6417.6842266666672</v>
      </c>
    </row>
    <row r="222" spans="1:5" x14ac:dyDescent="0.2">
      <c r="A222" s="38" t="s">
        <v>282</v>
      </c>
      <c r="B222" s="347">
        <v>66510.710000000006</v>
      </c>
      <c r="C222" s="307">
        <f t="shared" si="32"/>
        <v>1.6E-2</v>
      </c>
      <c r="D222" s="306">
        <f t="shared" si="35"/>
        <v>67574.881359999999</v>
      </c>
      <c r="E222" s="360">
        <f t="shared" si="31"/>
        <v>5631.2401133333333</v>
      </c>
    </row>
    <row r="223" spans="1:5" x14ac:dyDescent="0.2">
      <c r="A223" s="38" t="s">
        <v>283</v>
      </c>
      <c r="B223" s="347">
        <v>146372.54</v>
      </c>
      <c r="C223" s="307">
        <f t="shared" si="32"/>
        <v>1.6E-2</v>
      </c>
      <c r="D223" s="306">
        <f t="shared" si="35"/>
        <v>148714.50064000001</v>
      </c>
      <c r="E223" s="360">
        <f t="shared" si="31"/>
        <v>12392.875053333335</v>
      </c>
    </row>
    <row r="224" spans="1:5" x14ac:dyDescent="0.2">
      <c r="A224" s="38" t="s">
        <v>284</v>
      </c>
      <c r="B224" s="347">
        <v>85032.71</v>
      </c>
      <c r="C224" s="307">
        <f t="shared" si="32"/>
        <v>1.6E-2</v>
      </c>
      <c r="D224" s="306">
        <f t="shared" si="35"/>
        <v>86393.233360000013</v>
      </c>
      <c r="E224" s="360">
        <f t="shared" si="31"/>
        <v>7199.4361133333341</v>
      </c>
    </row>
    <row r="225" spans="1:5" x14ac:dyDescent="0.2">
      <c r="A225" s="38" t="s">
        <v>285</v>
      </c>
      <c r="B225" s="347">
        <v>53792.51</v>
      </c>
      <c r="C225" s="307">
        <f t="shared" si="32"/>
        <v>1.6E-2</v>
      </c>
      <c r="D225" s="306">
        <f t="shared" si="35"/>
        <v>54653.190160000006</v>
      </c>
      <c r="E225" s="360">
        <f t="shared" si="31"/>
        <v>4554.4325133333341</v>
      </c>
    </row>
    <row r="226" spans="1:5" x14ac:dyDescent="0.2">
      <c r="A226" s="38" t="s">
        <v>286</v>
      </c>
      <c r="B226" s="306">
        <v>274679.51</v>
      </c>
      <c r="C226" s="307">
        <f t="shared" si="32"/>
        <v>1.6E-2</v>
      </c>
      <c r="D226" s="306">
        <f t="shared" si="35"/>
        <v>279074.38216000004</v>
      </c>
      <c r="E226" s="360">
        <f t="shared" si="31"/>
        <v>23256.198513333336</v>
      </c>
    </row>
    <row r="227" spans="1:5" x14ac:dyDescent="0.2">
      <c r="A227" s="38"/>
      <c r="B227" s="306"/>
      <c r="C227" s="307"/>
      <c r="D227" s="306"/>
      <c r="E227" s="360"/>
    </row>
    <row r="228" spans="1:5" ht="13.5" thickBot="1" x14ac:dyDescent="0.25">
      <c r="A228" s="64" t="s">
        <v>287</v>
      </c>
      <c r="B228" s="348">
        <f>SUM(B209:B227)</f>
        <v>15293123.38555642</v>
      </c>
      <c r="C228" s="307"/>
      <c r="D228" s="318">
        <f>SUM(D209:D226)</f>
        <v>15537471.396845324</v>
      </c>
      <c r="E228" s="360">
        <f t="shared" si="31"/>
        <v>1294789.2830704437</v>
      </c>
    </row>
    <row r="229" spans="1:5" ht="13.5" thickTop="1" x14ac:dyDescent="0.2">
      <c r="A229" s="64"/>
      <c r="B229" s="349"/>
      <c r="C229" s="307"/>
      <c r="D229" s="319"/>
      <c r="E229" s="360"/>
    </row>
    <row r="230" spans="1:5" x14ac:dyDescent="0.2">
      <c r="A230" s="38" t="s">
        <v>401</v>
      </c>
      <c r="B230" s="306">
        <f>B228-B209-B210</f>
        <v>15271755.705556421</v>
      </c>
      <c r="C230" s="307"/>
      <c r="D230" s="319"/>
      <c r="E230" s="360"/>
    </row>
    <row r="231" spans="1:5" x14ac:dyDescent="0.2">
      <c r="B231" s="306"/>
      <c r="C231" s="307"/>
      <c r="D231" s="306"/>
      <c r="E231" s="360"/>
    </row>
    <row r="232" spans="1:5" x14ac:dyDescent="0.2">
      <c r="A232" s="39" t="s">
        <v>288</v>
      </c>
      <c r="B232" s="306"/>
      <c r="C232" s="307"/>
      <c r="D232" s="306"/>
      <c r="E232" s="360"/>
    </row>
    <row r="233" spans="1:5" x14ac:dyDescent="0.2">
      <c r="A233" s="39" t="s">
        <v>55</v>
      </c>
      <c r="B233" s="306"/>
      <c r="C233" s="307"/>
      <c r="D233" s="306"/>
      <c r="E233" s="360"/>
    </row>
    <row r="234" spans="1:5" x14ac:dyDescent="0.2">
      <c r="A234" s="38" t="s">
        <v>289</v>
      </c>
      <c r="B234" s="347">
        <v>1997193.2573431625</v>
      </c>
      <c r="C234" s="307">
        <f t="shared" si="32"/>
        <v>1.6E-2</v>
      </c>
      <c r="D234" s="306">
        <f>(B234+(B234*C234))</f>
        <v>2029148.3494606533</v>
      </c>
      <c r="E234" s="360">
        <f t="shared" si="31"/>
        <v>169095.69578838776</v>
      </c>
    </row>
    <row r="235" spans="1:5" x14ac:dyDescent="0.2">
      <c r="A235" s="38"/>
      <c r="B235" s="347"/>
      <c r="C235" s="307"/>
      <c r="D235" s="306"/>
      <c r="E235" s="360"/>
    </row>
    <row r="236" spans="1:5" x14ac:dyDescent="0.2">
      <c r="A236" s="39" t="s">
        <v>60</v>
      </c>
      <c r="B236" s="347"/>
      <c r="C236" s="307"/>
      <c r="D236" s="306"/>
      <c r="E236" s="360"/>
    </row>
    <row r="237" spans="1:5" x14ac:dyDescent="0.2">
      <c r="A237" s="38" t="s">
        <v>290</v>
      </c>
      <c r="B237" s="347">
        <v>128771.61</v>
      </c>
      <c r="C237" s="307">
        <f t="shared" si="32"/>
        <v>1.6E-2</v>
      </c>
      <c r="D237" s="306">
        <f>(B237+(B237*C237))</f>
        <v>130831.95576</v>
      </c>
      <c r="E237" s="360">
        <f t="shared" si="31"/>
        <v>10902.662979999999</v>
      </c>
    </row>
    <row r="238" spans="1:5" x14ac:dyDescent="0.2">
      <c r="A238" s="38"/>
      <c r="B238" s="306"/>
      <c r="C238" s="307"/>
      <c r="D238" s="306"/>
      <c r="E238" s="360"/>
    </row>
    <row r="239" spans="1:5" ht="13.5" thickBot="1" x14ac:dyDescent="0.25">
      <c r="A239" s="64" t="s">
        <v>291</v>
      </c>
      <c r="B239" s="348">
        <f>SUM(B234:B237)</f>
        <v>2125964.8673431627</v>
      </c>
      <c r="C239" s="307"/>
      <c r="D239" s="318">
        <f>SUM(D234:D237)</f>
        <v>2159980.3052206533</v>
      </c>
      <c r="E239" s="360">
        <f t="shared" si="31"/>
        <v>179998.35876838778</v>
      </c>
    </row>
    <row r="240" spans="1:5" ht="13.5" thickTop="1" x14ac:dyDescent="0.2">
      <c r="B240" s="306"/>
      <c r="C240" s="307"/>
      <c r="D240" s="306"/>
      <c r="E240" s="360"/>
    </row>
    <row r="241" spans="1:5" x14ac:dyDescent="0.2">
      <c r="A241" s="39" t="s">
        <v>325</v>
      </c>
      <c r="B241" s="306"/>
      <c r="C241" s="307"/>
      <c r="D241" s="306"/>
      <c r="E241" s="360"/>
    </row>
    <row r="242" spans="1:5" x14ac:dyDescent="0.2">
      <c r="A242" s="39" t="s">
        <v>55</v>
      </c>
      <c r="B242" s="306"/>
      <c r="C242" s="307"/>
      <c r="D242" s="306"/>
      <c r="E242" s="360"/>
    </row>
    <row r="243" spans="1:5" x14ac:dyDescent="0.2">
      <c r="A243" s="38" t="s">
        <v>292</v>
      </c>
      <c r="B243" s="347">
        <v>11540221.529306153</v>
      </c>
      <c r="C243" s="307">
        <f t="shared" si="32"/>
        <v>1.6E-2</v>
      </c>
      <c r="D243" s="306">
        <f>(B243+(B243*C243))</f>
        <v>11724865.073775051</v>
      </c>
      <c r="E243" s="360">
        <f t="shared" si="31"/>
        <v>977072.08948125422</v>
      </c>
    </row>
    <row r="244" spans="1:5" x14ac:dyDescent="0.2">
      <c r="A244" s="38"/>
      <c r="B244" s="347"/>
      <c r="C244" s="307"/>
      <c r="D244" s="306"/>
      <c r="E244" s="360"/>
    </row>
    <row r="245" spans="1:5" x14ac:dyDescent="0.2">
      <c r="A245" s="38" t="s">
        <v>197</v>
      </c>
      <c r="B245" s="347">
        <v>114119.69</v>
      </c>
      <c r="C245" s="307">
        <f t="shared" si="32"/>
        <v>1.6E-2</v>
      </c>
      <c r="D245" s="306">
        <f t="shared" ref="D245:D251" si="36">(B245+(B245*C245))</f>
        <v>115945.60504000001</v>
      </c>
      <c r="E245" s="360">
        <f t="shared" si="31"/>
        <v>9662.1337533333335</v>
      </c>
    </row>
    <row r="246" spans="1:5" x14ac:dyDescent="0.2">
      <c r="A246" s="38" t="s">
        <v>198</v>
      </c>
      <c r="B246" s="347">
        <v>380370.26</v>
      </c>
      <c r="C246" s="307">
        <f t="shared" si="32"/>
        <v>1.6E-2</v>
      </c>
      <c r="D246" s="306">
        <f t="shared" si="36"/>
        <v>386456.18416</v>
      </c>
      <c r="E246" s="360">
        <f t="shared" si="31"/>
        <v>32204.682013333335</v>
      </c>
    </row>
    <row r="247" spans="1:5" x14ac:dyDescent="0.2">
      <c r="A247" s="38" t="s">
        <v>196</v>
      </c>
      <c r="B247" s="347">
        <v>92139.51</v>
      </c>
      <c r="C247" s="307">
        <f t="shared" si="32"/>
        <v>1.6E-2</v>
      </c>
      <c r="D247" s="306">
        <f t="shared" si="36"/>
        <v>93613.742159999994</v>
      </c>
      <c r="E247" s="360">
        <f t="shared" si="31"/>
        <v>7801.1451799999995</v>
      </c>
    </row>
    <row r="248" spans="1:5" x14ac:dyDescent="0.2">
      <c r="A248" s="38" t="s">
        <v>199</v>
      </c>
      <c r="B248" s="347">
        <v>5054.4799999999996</v>
      </c>
      <c r="C248" s="307">
        <f t="shared" si="32"/>
        <v>1.6E-2</v>
      </c>
      <c r="D248" s="306">
        <f t="shared" si="36"/>
        <v>5135.3516799999998</v>
      </c>
      <c r="E248" s="360">
        <f t="shared" si="31"/>
        <v>427.94597333333331</v>
      </c>
    </row>
    <row r="249" spans="1:5" x14ac:dyDescent="0.2">
      <c r="A249" s="38" t="s">
        <v>200</v>
      </c>
      <c r="B249" s="347">
        <v>743329.11</v>
      </c>
      <c r="C249" s="307">
        <f t="shared" si="32"/>
        <v>1.6E-2</v>
      </c>
      <c r="D249" s="306">
        <f t="shared" si="36"/>
        <v>755222.37575999997</v>
      </c>
      <c r="E249" s="360">
        <f t="shared" si="31"/>
        <v>62935.197979999997</v>
      </c>
    </row>
    <row r="250" spans="1:5" x14ac:dyDescent="0.2">
      <c r="A250" s="38" t="s">
        <v>293</v>
      </c>
      <c r="B250" s="347">
        <v>254344.6</v>
      </c>
      <c r="C250" s="307">
        <f t="shared" si="32"/>
        <v>1.6E-2</v>
      </c>
      <c r="D250" s="306">
        <f t="shared" si="36"/>
        <v>258414.11360000001</v>
      </c>
      <c r="E250" s="360">
        <f t="shared" si="31"/>
        <v>21534.509466666666</v>
      </c>
    </row>
    <row r="251" spans="1:5" x14ac:dyDescent="0.2">
      <c r="A251" s="38" t="s">
        <v>202</v>
      </c>
      <c r="B251" s="347">
        <v>318695.21000000002</v>
      </c>
      <c r="C251" s="307">
        <f t="shared" si="32"/>
        <v>1.6E-2</v>
      </c>
      <c r="D251" s="306">
        <f t="shared" si="36"/>
        <v>323794.33336000005</v>
      </c>
      <c r="E251" s="360">
        <f t="shared" si="31"/>
        <v>26982.861113333336</v>
      </c>
    </row>
    <row r="252" spans="1:5" x14ac:dyDescent="0.2">
      <c r="A252" s="38"/>
      <c r="B252" s="347"/>
      <c r="C252" s="307"/>
      <c r="D252" s="306"/>
      <c r="E252" s="360"/>
    </row>
    <row r="253" spans="1:5" x14ac:dyDescent="0.2">
      <c r="A253" s="39" t="s">
        <v>60</v>
      </c>
      <c r="B253" s="347"/>
      <c r="C253" s="307"/>
      <c r="D253" s="306"/>
      <c r="E253" s="360"/>
    </row>
    <row r="254" spans="1:5" x14ac:dyDescent="0.2">
      <c r="A254" s="38" t="s">
        <v>294</v>
      </c>
      <c r="B254" s="347">
        <v>9104.42</v>
      </c>
      <c r="C254" s="307">
        <f t="shared" si="32"/>
        <v>1.6E-2</v>
      </c>
      <c r="D254" s="306">
        <f t="shared" ref="D254:D261" si="37">(B254+(B254*C254))</f>
        <v>9250.0907200000001</v>
      </c>
      <c r="E254" s="360">
        <f t="shared" si="31"/>
        <v>770.84089333333338</v>
      </c>
    </row>
    <row r="255" spans="1:5" x14ac:dyDescent="0.2">
      <c r="A255" s="38" t="s">
        <v>295</v>
      </c>
      <c r="B255" s="347">
        <v>6384.34</v>
      </c>
      <c r="C255" s="307">
        <f t="shared" si="32"/>
        <v>1.6E-2</v>
      </c>
      <c r="D255" s="306">
        <f t="shared" si="37"/>
        <v>6486.4894400000003</v>
      </c>
      <c r="E255" s="360">
        <f t="shared" si="31"/>
        <v>540.54078666666669</v>
      </c>
    </row>
    <row r="256" spans="1:5" x14ac:dyDescent="0.2">
      <c r="A256" s="38" t="s">
        <v>203</v>
      </c>
      <c r="B256" s="347"/>
      <c r="C256" s="307">
        <f t="shared" si="32"/>
        <v>1.6E-2</v>
      </c>
      <c r="D256" s="306">
        <f t="shared" si="37"/>
        <v>0</v>
      </c>
      <c r="E256" s="360">
        <f t="shared" si="31"/>
        <v>0</v>
      </c>
    </row>
    <row r="257" spans="1:5" x14ac:dyDescent="0.2">
      <c r="A257" s="38" t="s">
        <v>296</v>
      </c>
      <c r="C257" s="307">
        <f t="shared" si="32"/>
        <v>1.6E-2</v>
      </c>
      <c r="D257" s="306">
        <f t="shared" si="37"/>
        <v>0</v>
      </c>
      <c r="E257" s="360">
        <f t="shared" si="31"/>
        <v>0</v>
      </c>
    </row>
    <row r="258" spans="1:5" x14ac:dyDescent="0.2">
      <c r="A258" s="38" t="s">
        <v>297</v>
      </c>
      <c r="B258" s="347">
        <v>100819.4</v>
      </c>
      <c r="C258" s="307">
        <f t="shared" si="32"/>
        <v>1.6E-2</v>
      </c>
      <c r="D258" s="306">
        <f t="shared" si="37"/>
        <v>102432.5104</v>
      </c>
      <c r="E258" s="360">
        <f t="shared" si="31"/>
        <v>8536.0425333333333</v>
      </c>
    </row>
    <row r="259" spans="1:5" x14ac:dyDescent="0.2">
      <c r="A259" s="38" t="s">
        <v>298</v>
      </c>
      <c r="B259" s="347">
        <v>58978.13</v>
      </c>
      <c r="C259" s="307">
        <f t="shared" si="32"/>
        <v>1.6E-2</v>
      </c>
      <c r="D259" s="306">
        <f t="shared" si="37"/>
        <v>59921.780079999997</v>
      </c>
      <c r="E259" s="360">
        <f t="shared" si="31"/>
        <v>4993.4816733333328</v>
      </c>
    </row>
    <row r="260" spans="1:5" x14ac:dyDescent="0.2">
      <c r="A260" s="38" t="s">
        <v>299</v>
      </c>
      <c r="B260" s="347">
        <v>25342.31</v>
      </c>
      <c r="C260" s="307">
        <f t="shared" si="32"/>
        <v>1.6E-2</v>
      </c>
      <c r="D260" s="306">
        <f t="shared" si="37"/>
        <v>25747.786960000001</v>
      </c>
      <c r="E260" s="360">
        <f t="shared" si="31"/>
        <v>2145.6489133333334</v>
      </c>
    </row>
    <row r="261" spans="1:5" x14ac:dyDescent="0.2">
      <c r="A261" s="38" t="s">
        <v>300</v>
      </c>
      <c r="B261" s="347">
        <v>2556.46</v>
      </c>
      <c r="C261" s="307">
        <f t="shared" si="32"/>
        <v>1.6E-2</v>
      </c>
      <c r="D261" s="306">
        <f t="shared" si="37"/>
        <v>2597.3633599999998</v>
      </c>
      <c r="E261" s="360">
        <f t="shared" si="31"/>
        <v>216.44694666666666</v>
      </c>
    </row>
    <row r="262" spans="1:5" x14ac:dyDescent="0.2">
      <c r="A262" s="38"/>
      <c r="B262" s="306"/>
      <c r="C262" s="307"/>
      <c r="D262" s="306"/>
      <c r="E262" s="360"/>
    </row>
    <row r="263" spans="1:5" ht="13.5" thickBot="1" x14ac:dyDescent="0.25">
      <c r="A263" s="64" t="s">
        <v>301</v>
      </c>
      <c r="B263" s="348">
        <f>SUM(B243:B261)</f>
        <v>13651459.449306155</v>
      </c>
      <c r="C263" s="307"/>
      <c r="D263" s="318">
        <f>SUM(D243:D261)</f>
        <v>13869882.800495051</v>
      </c>
      <c r="E263" s="360">
        <f t="shared" si="31"/>
        <v>1155823.566707921</v>
      </c>
    </row>
    <row r="264" spans="1:5" ht="13.5" thickTop="1" x14ac:dyDescent="0.2">
      <c r="B264" s="306"/>
      <c r="C264" s="307"/>
      <c r="D264" s="306"/>
      <c r="E264" s="360"/>
    </row>
    <row r="265" spans="1:5" x14ac:dyDescent="0.2">
      <c r="A265" s="39" t="s">
        <v>302</v>
      </c>
      <c r="B265" s="306"/>
      <c r="C265" s="307"/>
      <c r="D265" s="306"/>
      <c r="E265" s="360"/>
    </row>
    <row r="266" spans="1:5" x14ac:dyDescent="0.2">
      <c r="A266" s="39" t="s">
        <v>55</v>
      </c>
      <c r="B266" s="306"/>
      <c r="C266" s="307"/>
      <c r="D266" s="306"/>
      <c r="E266" s="360"/>
    </row>
    <row r="267" spans="1:5" x14ac:dyDescent="0.2">
      <c r="A267" s="38" t="s">
        <v>303</v>
      </c>
      <c r="B267" s="347">
        <v>2123247.0139019289</v>
      </c>
      <c r="C267" s="307">
        <f t="shared" si="32"/>
        <v>1.6E-2</v>
      </c>
      <c r="D267" s="306">
        <f>(B267+(B267*C267))</f>
        <v>2157218.96612436</v>
      </c>
      <c r="E267" s="360">
        <f t="shared" ref="E267:E322" si="38">SUM(D267/12)</f>
        <v>179768.24717702999</v>
      </c>
    </row>
    <row r="268" spans="1:5" x14ac:dyDescent="0.2">
      <c r="A268" s="39"/>
      <c r="B268" s="347"/>
      <c r="C268" s="307"/>
      <c r="D268" s="306"/>
      <c r="E268" s="360"/>
    </row>
    <row r="269" spans="1:5" x14ac:dyDescent="0.2">
      <c r="A269" s="38" t="s">
        <v>208</v>
      </c>
      <c r="B269" s="347">
        <v>397913.71</v>
      </c>
      <c r="C269" s="307">
        <f t="shared" si="32"/>
        <v>1.6E-2</v>
      </c>
      <c r="D269" s="306">
        <f>(B269+(B269*C269))</f>
        <v>404280.32936000003</v>
      </c>
      <c r="E269" s="360">
        <f t="shared" si="38"/>
        <v>33690.027446666667</v>
      </c>
    </row>
    <row r="270" spans="1:5" x14ac:dyDescent="0.2">
      <c r="A270" s="38"/>
      <c r="B270" s="347"/>
      <c r="C270" s="307"/>
      <c r="D270" s="306"/>
      <c r="E270" s="360"/>
    </row>
    <row r="271" spans="1:5" x14ac:dyDescent="0.2">
      <c r="A271" s="39" t="s">
        <v>60</v>
      </c>
      <c r="B271" s="347"/>
      <c r="C271" s="307"/>
      <c r="D271" s="306"/>
      <c r="E271" s="360"/>
    </row>
    <row r="272" spans="1:5" x14ac:dyDescent="0.2">
      <c r="A272" s="38" t="s">
        <v>304</v>
      </c>
      <c r="B272" s="347">
        <v>276575.15000000002</v>
      </c>
      <c r="C272" s="307">
        <f t="shared" si="32"/>
        <v>1.6E-2</v>
      </c>
      <c r="D272" s="306">
        <f>(B272+(B272*C272))</f>
        <v>281000.35240000003</v>
      </c>
      <c r="E272" s="360">
        <f t="shared" si="38"/>
        <v>23416.696033333337</v>
      </c>
    </row>
    <row r="273" spans="1:5" x14ac:dyDescent="0.2">
      <c r="A273" s="38"/>
      <c r="B273" s="306"/>
      <c r="C273" s="307"/>
      <c r="D273" s="306"/>
      <c r="E273" s="360"/>
    </row>
    <row r="274" spans="1:5" ht="13.5" thickBot="1" x14ac:dyDescent="0.25">
      <c r="A274" s="64" t="s">
        <v>305</v>
      </c>
      <c r="B274" s="348">
        <f>SUM(B267:B272)</f>
        <v>2797735.8739019288</v>
      </c>
      <c r="C274" s="307"/>
      <c r="D274" s="318">
        <f>SUM(D267:D272)</f>
        <v>2842499.64788436</v>
      </c>
      <c r="E274" s="360">
        <f t="shared" si="38"/>
        <v>236874.97065703</v>
      </c>
    </row>
    <row r="275" spans="1:5" ht="13.5" thickTop="1" x14ac:dyDescent="0.2">
      <c r="B275" s="306"/>
      <c r="C275" s="307"/>
      <c r="D275" s="306"/>
      <c r="E275" s="360"/>
    </row>
    <row r="276" spans="1:5" x14ac:dyDescent="0.2">
      <c r="A276" s="39" t="s">
        <v>306</v>
      </c>
      <c r="B276" s="306"/>
      <c r="C276" s="307"/>
      <c r="D276" s="306"/>
      <c r="E276" s="360"/>
    </row>
    <row r="277" spans="1:5" x14ac:dyDescent="0.2">
      <c r="A277" s="39" t="s">
        <v>55</v>
      </c>
      <c r="B277" s="306"/>
      <c r="C277" s="307"/>
      <c r="D277" s="306"/>
      <c r="E277" s="360"/>
    </row>
    <row r="278" spans="1:5" x14ac:dyDescent="0.2">
      <c r="A278" s="38" t="s">
        <v>307</v>
      </c>
      <c r="B278" s="347">
        <v>2381030.9096741718</v>
      </c>
      <c r="C278" s="307">
        <f>$C$6</f>
        <v>1.6E-2</v>
      </c>
      <c r="D278" s="306">
        <f>(B278+(B278*C278))</f>
        <v>2419127.4042289588</v>
      </c>
      <c r="E278" s="360">
        <f t="shared" si="38"/>
        <v>201593.95035241323</v>
      </c>
    </row>
    <row r="279" spans="1:5" x14ac:dyDescent="0.2">
      <c r="A279" s="38"/>
      <c r="B279" s="347"/>
      <c r="C279" s="307"/>
      <c r="D279" s="306"/>
      <c r="E279" s="360"/>
    </row>
    <row r="280" spans="1:5" x14ac:dyDescent="0.2">
      <c r="A280" s="39" t="s">
        <v>60</v>
      </c>
      <c r="B280" s="347"/>
      <c r="C280" s="307"/>
      <c r="D280" s="306"/>
      <c r="E280" s="360"/>
    </row>
    <row r="281" spans="1:5" x14ac:dyDescent="0.2">
      <c r="A281" s="38" t="s">
        <v>61</v>
      </c>
      <c r="B281" s="347">
        <v>820.97</v>
      </c>
      <c r="C281" s="307">
        <f>$C$6</f>
        <v>1.6E-2</v>
      </c>
      <c r="D281" s="306">
        <f>(B281+(B281*C281))</f>
        <v>834.10552000000007</v>
      </c>
      <c r="E281" s="360">
        <f t="shared" si="38"/>
        <v>69.508793333333344</v>
      </c>
    </row>
    <row r="282" spans="1:5" x14ac:dyDescent="0.2">
      <c r="A282" s="38"/>
      <c r="B282" s="306"/>
      <c r="C282" s="307"/>
      <c r="D282" s="306"/>
      <c r="E282" s="360"/>
    </row>
    <row r="283" spans="1:5" ht="13.5" thickBot="1" x14ac:dyDescent="0.25">
      <c r="A283" s="64" t="s">
        <v>308</v>
      </c>
      <c r="B283" s="348">
        <f>SUM(B278:B281)</f>
        <v>2381851.879674172</v>
      </c>
      <c r="C283" s="307"/>
      <c r="D283" s="318">
        <f>SUM(D278:D281)</f>
        <v>2419961.509748959</v>
      </c>
      <c r="E283" s="360">
        <f t="shared" si="38"/>
        <v>201663.45914574657</v>
      </c>
    </row>
    <row r="284" spans="1:5" ht="13.5" thickTop="1" x14ac:dyDescent="0.2">
      <c r="B284" s="306"/>
      <c r="C284" s="307"/>
      <c r="D284" s="306"/>
      <c r="E284" s="360"/>
    </row>
    <row r="285" spans="1:5" x14ac:dyDescent="0.2">
      <c r="A285" s="39" t="s">
        <v>309</v>
      </c>
      <c r="B285" s="306"/>
      <c r="C285" s="307"/>
      <c r="D285" s="306"/>
      <c r="E285" s="360"/>
    </row>
    <row r="286" spans="1:5" x14ac:dyDescent="0.2">
      <c r="A286" s="39" t="s">
        <v>320</v>
      </c>
      <c r="B286" s="306"/>
      <c r="C286" s="307"/>
      <c r="D286" s="306"/>
      <c r="E286" s="360"/>
    </row>
    <row r="287" spans="1:5" x14ac:dyDescent="0.2">
      <c r="A287" s="38" t="s">
        <v>310</v>
      </c>
      <c r="B287" s="308">
        <v>131943.96</v>
      </c>
      <c r="C287" s="307"/>
      <c r="D287" s="308">
        <f>131943.92</f>
        <v>131943.92000000001</v>
      </c>
      <c r="E287" s="360">
        <f t="shared" si="38"/>
        <v>10995.326666666668</v>
      </c>
    </row>
    <row r="288" spans="1:5" x14ac:dyDescent="0.2">
      <c r="A288" s="38" t="s">
        <v>311</v>
      </c>
      <c r="B288" s="308">
        <v>63893.4</v>
      </c>
      <c r="C288" s="307"/>
      <c r="D288" s="308">
        <f>63893.35</f>
        <v>63893.35</v>
      </c>
      <c r="E288" s="360">
        <f t="shared" si="38"/>
        <v>5324.4458333333332</v>
      </c>
    </row>
    <row r="289" spans="1:5" x14ac:dyDescent="0.2">
      <c r="A289" s="38" t="s">
        <v>312</v>
      </c>
      <c r="B289" s="308">
        <v>9029.52</v>
      </c>
      <c r="C289" s="307"/>
      <c r="D289" s="308">
        <f>9029.55</f>
        <v>9029.5499999999993</v>
      </c>
      <c r="E289" s="360">
        <f t="shared" si="38"/>
        <v>752.46249999999998</v>
      </c>
    </row>
    <row r="290" spans="1:5" x14ac:dyDescent="0.2">
      <c r="A290" s="38"/>
      <c r="B290" s="306"/>
      <c r="C290" s="307"/>
      <c r="D290" s="306"/>
      <c r="E290" s="360"/>
    </row>
    <row r="291" spans="1:5" x14ac:dyDescent="0.2">
      <c r="A291" s="39" t="s">
        <v>55</v>
      </c>
      <c r="B291" s="306"/>
      <c r="C291" s="307"/>
      <c r="D291" s="306"/>
      <c r="E291" s="360"/>
    </row>
    <row r="292" spans="1:5" x14ac:dyDescent="0.2">
      <c r="A292" s="38" t="s">
        <v>313</v>
      </c>
      <c r="B292" s="347">
        <v>85842301.818851709</v>
      </c>
      <c r="C292" s="307">
        <f>$C$6</f>
        <v>1.6E-2</v>
      </c>
      <c r="D292" s="306">
        <f>(B292+(B292*C292))</f>
        <v>87215778.647953331</v>
      </c>
      <c r="E292" s="360">
        <f t="shared" si="38"/>
        <v>7267981.5539961113</v>
      </c>
    </row>
    <row r="293" spans="1:5" x14ac:dyDescent="0.2">
      <c r="A293" s="38"/>
      <c r="B293" s="347"/>
      <c r="C293" s="307"/>
      <c r="D293" s="306"/>
      <c r="E293" s="360"/>
    </row>
    <row r="294" spans="1:5" x14ac:dyDescent="0.2">
      <c r="A294" s="38" t="s">
        <v>213</v>
      </c>
      <c r="B294" s="347">
        <v>49756599.490000002</v>
      </c>
      <c r="C294" s="307">
        <f>$C$6</f>
        <v>1.6E-2</v>
      </c>
      <c r="D294" s="306">
        <f>(B294+(B294*C294))</f>
        <v>50552705.081840001</v>
      </c>
      <c r="E294" s="360">
        <f t="shared" si="38"/>
        <v>4212725.4234866668</v>
      </c>
    </row>
    <row r="295" spans="1:5" x14ac:dyDescent="0.2">
      <c r="A295" s="38" t="s">
        <v>214</v>
      </c>
      <c r="B295" s="347">
        <v>20403353.219999999</v>
      </c>
      <c r="C295" s="307">
        <f>$C$6</f>
        <v>1.6E-2</v>
      </c>
      <c r="D295" s="306">
        <f>(B295+(B295*C295))</f>
        <v>20729806.871519998</v>
      </c>
      <c r="E295" s="360">
        <f t="shared" si="38"/>
        <v>1727483.9059599999</v>
      </c>
    </row>
    <row r="296" spans="1:5" x14ac:dyDescent="0.2">
      <c r="A296" s="38"/>
      <c r="B296" s="347"/>
      <c r="C296" s="307"/>
      <c r="D296" s="306"/>
      <c r="E296" s="360"/>
    </row>
    <row r="297" spans="1:5" x14ac:dyDescent="0.2">
      <c r="A297" s="39" t="s">
        <v>60</v>
      </c>
      <c r="B297" s="347"/>
      <c r="C297" s="307"/>
      <c r="D297" s="306"/>
      <c r="E297" s="360"/>
    </row>
    <row r="298" spans="1:5" x14ac:dyDescent="0.2">
      <c r="A298" s="38" t="s">
        <v>61</v>
      </c>
      <c r="B298" s="347">
        <v>162841.17000000001</v>
      </c>
      <c r="C298" s="307">
        <f t="shared" ref="C298:C303" si="39">$C$6</f>
        <v>1.6E-2</v>
      </c>
      <c r="D298" s="306">
        <f t="shared" ref="D298:D303" si="40">(B298+(B298*C298))</f>
        <v>165446.62872000001</v>
      </c>
      <c r="E298" s="360">
        <f t="shared" si="38"/>
        <v>13787.219060000001</v>
      </c>
    </row>
    <row r="299" spans="1:5" x14ac:dyDescent="0.2">
      <c r="A299" s="38" t="s">
        <v>216</v>
      </c>
      <c r="B299" s="347">
        <v>1119364.02</v>
      </c>
      <c r="C299" s="307">
        <f t="shared" si="39"/>
        <v>1.6E-2</v>
      </c>
      <c r="D299" s="306">
        <f t="shared" si="40"/>
        <v>1137273.8443199999</v>
      </c>
      <c r="E299" s="360">
        <f t="shared" si="38"/>
        <v>94772.820359999998</v>
      </c>
    </row>
    <row r="300" spans="1:5" x14ac:dyDescent="0.2">
      <c r="A300" s="38" t="s">
        <v>314</v>
      </c>
      <c r="B300" s="347">
        <v>3090145.82</v>
      </c>
      <c r="C300" s="307">
        <f t="shared" si="39"/>
        <v>1.6E-2</v>
      </c>
      <c r="D300" s="306">
        <f t="shared" si="40"/>
        <v>3139588.1531199999</v>
      </c>
      <c r="E300" s="360">
        <f t="shared" si="38"/>
        <v>261632.34609333333</v>
      </c>
    </row>
    <row r="301" spans="1:5" x14ac:dyDescent="0.2">
      <c r="A301" s="38" t="s">
        <v>218</v>
      </c>
      <c r="B301" s="347">
        <v>168199.8</v>
      </c>
      <c r="C301" s="307">
        <f t="shared" si="39"/>
        <v>1.6E-2</v>
      </c>
      <c r="D301" s="306">
        <f t="shared" si="40"/>
        <v>170890.99679999999</v>
      </c>
      <c r="E301" s="360">
        <f t="shared" si="38"/>
        <v>14240.9164</v>
      </c>
    </row>
    <row r="302" spans="1:5" x14ac:dyDescent="0.2">
      <c r="A302" s="38" t="s">
        <v>73</v>
      </c>
      <c r="B302" s="347">
        <v>1273343.78</v>
      </c>
      <c r="C302" s="307">
        <f t="shared" si="39"/>
        <v>1.6E-2</v>
      </c>
      <c r="D302" s="306">
        <f t="shared" si="40"/>
        <v>1293717.28048</v>
      </c>
      <c r="E302" s="360">
        <f t="shared" si="38"/>
        <v>107809.77337333333</v>
      </c>
    </row>
    <row r="303" spans="1:5" x14ac:dyDescent="0.2">
      <c r="A303" s="38" t="s">
        <v>315</v>
      </c>
      <c r="B303" s="347">
        <v>5537973.5700000003</v>
      </c>
      <c r="C303" s="307">
        <f t="shared" si="39"/>
        <v>1.6E-2</v>
      </c>
      <c r="D303" s="306">
        <f t="shared" si="40"/>
        <v>5626581.1471199999</v>
      </c>
      <c r="E303" s="360">
        <f t="shared" si="38"/>
        <v>468881.76225999999</v>
      </c>
    </row>
    <row r="304" spans="1:5" x14ac:dyDescent="0.2">
      <c r="A304" s="38"/>
      <c r="B304" s="306"/>
      <c r="C304" s="307"/>
      <c r="D304" s="306"/>
      <c r="E304" s="360"/>
    </row>
    <row r="305" spans="1:5" ht="13.5" thickBot="1" x14ac:dyDescent="0.25">
      <c r="A305" s="64" t="s">
        <v>316</v>
      </c>
      <c r="B305" s="348">
        <f>SUM(B287:B303)</f>
        <v>167558989.56885171</v>
      </c>
      <c r="C305" s="307"/>
      <c r="D305" s="318">
        <f>SUM(D287:D303)</f>
        <v>170236655.47187334</v>
      </c>
      <c r="E305" s="360">
        <f t="shared" si="38"/>
        <v>14186387.955989445</v>
      </c>
    </row>
    <row r="306" spans="1:5" ht="13.5" thickTop="1" x14ac:dyDescent="0.2">
      <c r="B306" s="306"/>
      <c r="C306" s="307"/>
      <c r="D306" s="306"/>
      <c r="E306" s="360"/>
    </row>
    <row r="307" spans="1:5" x14ac:dyDescent="0.2">
      <c r="A307" s="38" t="s">
        <v>401</v>
      </c>
      <c r="B307" s="306">
        <f>B305-B287-B288-B289</f>
        <v>167354122.68885168</v>
      </c>
      <c r="C307" s="307"/>
      <c r="D307" s="306"/>
      <c r="E307" s="360"/>
    </row>
    <row r="308" spans="1:5" x14ac:dyDescent="0.2">
      <c r="B308" s="306"/>
      <c r="C308" s="307"/>
      <c r="D308" s="306"/>
      <c r="E308" s="360"/>
    </row>
    <row r="309" spans="1:5" x14ac:dyDescent="0.2">
      <c r="A309" s="39" t="s">
        <v>317</v>
      </c>
      <c r="B309" s="306"/>
      <c r="C309" s="307"/>
      <c r="D309" s="306"/>
      <c r="E309" s="360"/>
    </row>
    <row r="310" spans="1:5" x14ac:dyDescent="0.2">
      <c r="A310" s="39" t="s">
        <v>55</v>
      </c>
      <c r="B310" s="306"/>
      <c r="C310" s="307"/>
      <c r="D310" s="306"/>
      <c r="E310" s="360"/>
    </row>
    <row r="311" spans="1:5" x14ac:dyDescent="0.2">
      <c r="A311" s="38" t="s">
        <v>318</v>
      </c>
      <c r="B311" s="347">
        <v>3105760.6091353246</v>
      </c>
      <c r="C311" s="307">
        <f>$C$6</f>
        <v>1.6E-2</v>
      </c>
      <c r="D311" s="306">
        <f>(B311+(B311*C311))</f>
        <v>3155452.7788814898</v>
      </c>
      <c r="E311" s="360">
        <f t="shared" si="38"/>
        <v>262954.39824012417</v>
      </c>
    </row>
    <row r="312" spans="1:5" x14ac:dyDescent="0.2">
      <c r="A312" s="38"/>
      <c r="B312" s="347"/>
      <c r="C312" s="307"/>
      <c r="D312" s="306"/>
      <c r="E312" s="360"/>
    </row>
    <row r="313" spans="1:5" x14ac:dyDescent="0.2">
      <c r="A313" s="38" t="s">
        <v>224</v>
      </c>
      <c r="B313" s="347">
        <v>1078571.57</v>
      </c>
      <c r="C313" s="307">
        <f>$C$6</f>
        <v>1.6E-2</v>
      </c>
      <c r="D313" s="306">
        <f>(B313+(B313*C313))</f>
        <v>1095828.7151200001</v>
      </c>
      <c r="E313" s="360">
        <f t="shared" si="38"/>
        <v>91319.059593333339</v>
      </c>
    </row>
    <row r="314" spans="1:5" x14ac:dyDescent="0.2">
      <c r="A314" s="38"/>
      <c r="B314" s="347"/>
      <c r="C314" s="307"/>
      <c r="D314" s="306"/>
      <c r="E314" s="360"/>
    </row>
    <row r="315" spans="1:5" x14ac:dyDescent="0.2">
      <c r="A315" s="38" t="s">
        <v>225</v>
      </c>
      <c r="B315" s="347">
        <v>15753.99</v>
      </c>
      <c r="C315" s="307">
        <f>$C$6</f>
        <v>1.6E-2</v>
      </c>
      <c r="D315" s="306">
        <f>(B315+(B315*C315))</f>
        <v>16006.05384</v>
      </c>
      <c r="E315" s="360">
        <f t="shared" si="38"/>
        <v>1333.83782</v>
      </c>
    </row>
    <row r="316" spans="1:5" x14ac:dyDescent="0.2">
      <c r="A316" s="38" t="s">
        <v>226</v>
      </c>
      <c r="B316" s="347">
        <v>53947.42</v>
      </c>
      <c r="C316" s="307">
        <f>$C$6</f>
        <v>1.6E-2</v>
      </c>
      <c r="D316" s="306">
        <f>(B316+(B316*C316))</f>
        <v>54810.578719999998</v>
      </c>
      <c r="E316" s="360">
        <f t="shared" si="38"/>
        <v>4567.5482266666668</v>
      </c>
    </row>
    <row r="317" spans="1:5" x14ac:dyDescent="0.2">
      <c r="A317" s="38" t="s">
        <v>227</v>
      </c>
      <c r="B317" s="347">
        <v>18681.5</v>
      </c>
      <c r="C317" s="307">
        <f>$C$6</f>
        <v>1.6E-2</v>
      </c>
      <c r="D317" s="306">
        <f>(B317+(B317*C317))</f>
        <v>18980.403999999999</v>
      </c>
      <c r="E317" s="360">
        <f t="shared" si="38"/>
        <v>1581.7003333333332</v>
      </c>
    </row>
    <row r="318" spans="1:5" x14ac:dyDescent="0.2">
      <c r="A318" s="38"/>
      <c r="B318" s="347"/>
      <c r="C318" s="307"/>
      <c r="D318" s="306"/>
      <c r="E318" s="360"/>
    </row>
    <row r="319" spans="1:5" x14ac:dyDescent="0.2">
      <c r="A319" s="39" t="s">
        <v>60</v>
      </c>
      <c r="B319" s="347"/>
      <c r="C319" s="307"/>
      <c r="D319" s="306"/>
      <c r="E319" s="360"/>
    </row>
    <row r="320" spans="1:5" x14ac:dyDescent="0.2">
      <c r="A320" s="38" t="s">
        <v>319</v>
      </c>
      <c r="B320" s="347">
        <v>377917.35</v>
      </c>
      <c r="C320" s="307">
        <f>$C$6</f>
        <v>1.6E-2</v>
      </c>
      <c r="D320" s="306">
        <f>(B320+(B320*C320))</f>
        <v>383964.02759999997</v>
      </c>
      <c r="E320" s="360">
        <f t="shared" si="38"/>
        <v>31997.002299999996</v>
      </c>
    </row>
    <row r="321" spans="1:5" x14ac:dyDescent="0.2">
      <c r="A321" s="38"/>
      <c r="C321" s="310"/>
      <c r="E321" s="360"/>
    </row>
    <row r="322" spans="1:5" ht="13.5" thickBot="1" x14ac:dyDescent="0.25">
      <c r="A322" s="64" t="s">
        <v>351</v>
      </c>
      <c r="B322" s="348">
        <f>SUM(B311:B320)</f>
        <v>4650632.4391353242</v>
      </c>
      <c r="C322" s="318"/>
      <c r="D322" s="318">
        <f>SUM(D311:D320)</f>
        <v>4725042.5581614897</v>
      </c>
      <c r="E322" s="360">
        <f t="shared" si="38"/>
        <v>393753.54651345749</v>
      </c>
    </row>
    <row r="323" spans="1:5" ht="13.5" thickTop="1" x14ac:dyDescent="0.2"/>
    <row r="325" spans="1:5" x14ac:dyDescent="0.2">
      <c r="B325" s="306"/>
      <c r="C325" s="307"/>
      <c r="D325" s="306"/>
    </row>
    <row r="326" spans="1:5" x14ac:dyDescent="0.2">
      <c r="B326" s="306"/>
      <c r="D326" s="309"/>
    </row>
    <row r="327" spans="1:5" x14ac:dyDescent="0.2">
      <c r="B327" s="306"/>
      <c r="D327" s="309"/>
    </row>
    <row r="328" spans="1:5" x14ac:dyDescent="0.2">
      <c r="B328" s="306"/>
      <c r="C328" s="309"/>
      <c r="D328" s="309"/>
    </row>
    <row r="329" spans="1:5" x14ac:dyDescent="0.2">
      <c r="C329" s="307"/>
      <c r="D329" s="306"/>
    </row>
    <row r="330" spans="1:5" x14ac:dyDescent="0.2">
      <c r="D330" s="306"/>
    </row>
    <row r="331" spans="1:5" x14ac:dyDescent="0.2">
      <c r="D331" s="306"/>
    </row>
    <row r="332" spans="1:5" x14ac:dyDescent="0.2">
      <c r="D332" s="306"/>
    </row>
  </sheetData>
  <phoneticPr fontId="0" type="noConversion"/>
  <printOptions horizontalCentered="1" verticalCentered="1"/>
  <pageMargins left="0.75" right="0.75" top="1" bottom="1" header="0.5" footer="0.5"/>
  <pageSetup scale="86" firstPageNumber="55" orientation="landscape" useFirstPageNumber="1" r:id="rId1"/>
  <headerFooter alignWithMargins="0">
    <oddHeader>&amp;CBASE CALCULATION</oddHeader>
    <oddFooter>&amp;LADMINISTRATIVE SERVICES DIVISION, 3/15/15
&amp;RD-&amp;P</oddFooter>
  </headerFooter>
  <rowBreaks count="9" manualBreakCount="9">
    <brk id="28" max="16383" man="1"/>
    <brk id="66" max="16383" man="1"/>
    <brk id="104" max="16383" man="1"/>
    <brk id="134" max="16383" man="1"/>
    <brk id="171" max="16383" man="1"/>
    <brk id="206" max="16383" man="1"/>
    <brk id="240" max="16383" man="1"/>
    <brk id="275" max="16383" man="1"/>
    <brk id="308" max="16383" man="1"/>
  </row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10"/>
  <sheetViews>
    <sheetView workbookViewId="0">
      <selection activeCell="O21" sqref="O21"/>
    </sheetView>
  </sheetViews>
  <sheetFormatPr defaultRowHeight="12.75" x14ac:dyDescent="0.2"/>
  <cols>
    <col min="1" max="1" width="9.140625" style="323"/>
    <col min="2" max="2" width="10.5703125" style="323" customWidth="1"/>
    <col min="3" max="3" width="9.140625" style="323" customWidth="1"/>
    <col min="4" max="16384" width="9.140625" style="323"/>
  </cols>
  <sheetData>
    <row r="1" spans="1:7" ht="18" x14ac:dyDescent="0.25">
      <c r="A1" s="386" t="s">
        <v>522</v>
      </c>
      <c r="B1" s="386"/>
      <c r="C1" s="386"/>
      <c r="D1" s="386"/>
      <c r="E1" s="386"/>
      <c r="F1" s="386"/>
      <c r="G1" s="386"/>
    </row>
    <row r="2" spans="1:7" ht="18" x14ac:dyDescent="0.25">
      <c r="A2" s="339"/>
    </row>
    <row r="3" spans="1:7" s="340" customFormat="1" ht="30" x14ac:dyDescent="0.25">
      <c r="B3" s="341" t="s">
        <v>523</v>
      </c>
      <c r="C3" s="341">
        <v>2014</v>
      </c>
      <c r="D3" s="341">
        <v>2013</v>
      </c>
      <c r="E3" s="341">
        <v>2012</v>
      </c>
      <c r="F3" s="341">
        <v>2011</v>
      </c>
      <c r="G3" s="341">
        <v>2010</v>
      </c>
    </row>
    <row r="5" spans="1:7" s="324" customFormat="1" x14ac:dyDescent="0.2">
      <c r="B5" s="342">
        <f>AVERAGE(C5:G5)</f>
        <v>1.6E-2</v>
      </c>
      <c r="C5" s="362">
        <v>-4.0000000000000001E-3</v>
      </c>
      <c r="D5" s="342">
        <v>1.4999999999999999E-2</v>
      </c>
      <c r="E5" s="342">
        <v>2.1000000000000001E-2</v>
      </c>
      <c r="F5" s="342">
        <v>3.2000000000000001E-2</v>
      </c>
      <c r="G5" s="342">
        <v>1.6E-2</v>
      </c>
    </row>
    <row r="9" spans="1:7" x14ac:dyDescent="0.2">
      <c r="A9" s="323" t="s">
        <v>524</v>
      </c>
    </row>
    <row r="10" spans="1:7" x14ac:dyDescent="0.2">
      <c r="A10" s="323" t="s">
        <v>525</v>
      </c>
    </row>
  </sheetData>
  <mergeCells count="1">
    <mergeCell ref="A1:G1"/>
  </mergeCells>
  <printOptions horizontalCentered="1" verticalCentered="1"/>
  <pageMargins left="0.75" right="0.75" top="1" bottom="1" header="0.5" footer="0.5"/>
  <pageSetup orientation="landscape" r:id="rId1"/>
  <headerFooter alignWithMargins="0">
    <oddFooter>&amp;RD-&amp;P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A223"/>
  <sheetViews>
    <sheetView zoomScaleNormal="100" workbookViewId="0">
      <selection activeCell="E29" sqref="E29"/>
    </sheetView>
  </sheetViews>
  <sheetFormatPr defaultColWidth="12.5703125" defaultRowHeight="12.75" x14ac:dyDescent="0.2"/>
  <cols>
    <col min="1" max="1" width="28.7109375" style="103" customWidth="1"/>
    <col min="2" max="2" width="22.5703125" style="161" customWidth="1"/>
    <col min="3" max="3" width="23.5703125" style="161" customWidth="1"/>
    <col min="4" max="4" width="22.5703125" style="103" customWidth="1"/>
    <col min="5" max="5" width="24.5703125" style="103" customWidth="1"/>
    <col min="6" max="6" width="22" style="103" customWidth="1"/>
    <col min="7" max="8" width="13.42578125" style="103" customWidth="1"/>
    <col min="9" max="9" width="12.7109375" style="103" customWidth="1"/>
    <col min="10" max="10" width="8.85546875" style="103" customWidth="1"/>
    <col min="11" max="11" width="12.7109375" style="103" customWidth="1"/>
    <col min="12" max="12" width="13.7109375" style="103" customWidth="1"/>
    <col min="13" max="13" width="12.5703125" style="103"/>
    <col min="14" max="15" width="14.7109375" style="103" customWidth="1"/>
    <col min="16" max="17" width="17" style="103" customWidth="1"/>
    <col min="18" max="18" width="16.85546875" style="103" customWidth="1"/>
    <col min="19" max="19" width="0.85546875" style="103" customWidth="1"/>
    <col min="20" max="20" width="17.7109375" style="103" customWidth="1"/>
    <col min="21" max="21" width="17" style="103" customWidth="1"/>
    <col min="22" max="22" width="16.42578125" style="103" customWidth="1"/>
    <col min="23" max="23" width="16.85546875" style="103" customWidth="1"/>
    <col min="24" max="24" width="19" style="103" customWidth="1"/>
    <col min="25" max="26" width="17.7109375" style="103" customWidth="1"/>
    <col min="27" max="28" width="12.5703125" style="103"/>
    <col min="29" max="30" width="20.28515625" style="103" customWidth="1"/>
    <col min="31" max="31" width="19" style="103" customWidth="1"/>
    <col min="32" max="35" width="12.5703125" style="103"/>
    <col min="36" max="36" width="20.28515625" style="103" customWidth="1"/>
    <col min="37" max="37" width="46" style="103" customWidth="1"/>
    <col min="38" max="16384" width="12.5703125" style="103"/>
  </cols>
  <sheetData>
    <row r="1" spans="1:37" x14ac:dyDescent="0.2">
      <c r="B1" s="197"/>
      <c r="D1" s="161"/>
      <c r="E1" s="104"/>
      <c r="F1" s="104"/>
      <c r="M1" s="163"/>
      <c r="N1" s="163"/>
      <c r="O1" s="162"/>
    </row>
    <row r="2" spans="1:37" x14ac:dyDescent="0.2">
      <c r="A2" s="104"/>
      <c r="B2" s="197" t="s">
        <v>23</v>
      </c>
      <c r="C2" s="197" t="s">
        <v>403</v>
      </c>
      <c r="D2" s="104" t="s">
        <v>404</v>
      </c>
      <c r="E2" s="104" t="s">
        <v>24</v>
      </c>
      <c r="F2" s="104" t="s">
        <v>25</v>
      </c>
      <c r="G2" s="235" t="s">
        <v>26</v>
      </c>
      <c r="H2" s="104" t="s">
        <v>27</v>
      </c>
      <c r="I2" s="104" t="s">
        <v>28</v>
      </c>
      <c r="J2" s="104" t="s">
        <v>29</v>
      </c>
      <c r="K2" s="104" t="s">
        <v>30</v>
      </c>
      <c r="L2" s="104" t="s">
        <v>31</v>
      </c>
      <c r="M2" s="363" t="s">
        <v>32</v>
      </c>
      <c r="N2" s="363" t="s">
        <v>33</v>
      </c>
      <c r="O2" s="104" t="s">
        <v>353</v>
      </c>
      <c r="P2" s="104" t="s">
        <v>354</v>
      </c>
      <c r="Q2" s="104" t="s">
        <v>355</v>
      </c>
      <c r="R2" s="104" t="s">
        <v>356</v>
      </c>
      <c r="S2" s="104" t="s">
        <v>410</v>
      </c>
      <c r="T2" s="104" t="s">
        <v>359</v>
      </c>
      <c r="U2" s="104" t="s">
        <v>360</v>
      </c>
      <c r="V2" s="104" t="s">
        <v>411</v>
      </c>
      <c r="W2" s="146" t="s">
        <v>412</v>
      </c>
    </row>
    <row r="3" spans="1:37" x14ac:dyDescent="0.2">
      <c r="A3" s="104" t="s">
        <v>105</v>
      </c>
      <c r="B3" s="197"/>
      <c r="D3" s="104"/>
      <c r="E3" s="104"/>
      <c r="F3" s="104"/>
      <c r="M3" s="104" t="s">
        <v>1</v>
      </c>
      <c r="P3" s="103" t="s">
        <v>413</v>
      </c>
      <c r="S3" s="104" t="s">
        <v>410</v>
      </c>
      <c r="T3" s="103" t="s">
        <v>414</v>
      </c>
      <c r="AJ3" s="103" t="s">
        <v>415</v>
      </c>
      <c r="AK3" s="103" t="s">
        <v>416</v>
      </c>
    </row>
    <row r="4" spans="1:37" x14ac:dyDescent="0.2">
      <c r="C4" s="197" t="s">
        <v>406</v>
      </c>
      <c r="D4" s="104" t="s">
        <v>406</v>
      </c>
      <c r="E4" s="285" t="s">
        <v>546</v>
      </c>
      <c r="F4" s="285" t="s">
        <v>546</v>
      </c>
      <c r="K4" s="104" t="s">
        <v>417</v>
      </c>
      <c r="L4" s="104" t="s">
        <v>418</v>
      </c>
      <c r="M4" s="104" t="s">
        <v>419</v>
      </c>
      <c r="N4" s="104" t="s">
        <v>1</v>
      </c>
      <c r="O4" s="104" t="s">
        <v>420</v>
      </c>
      <c r="S4" s="104" t="s">
        <v>410</v>
      </c>
      <c r="AK4" s="103" t="s">
        <v>421</v>
      </c>
    </row>
    <row r="5" spans="1:37" x14ac:dyDescent="0.2">
      <c r="A5" s="103" t="s">
        <v>105</v>
      </c>
      <c r="B5" s="369" t="s">
        <v>516</v>
      </c>
      <c r="C5" s="369" t="s">
        <v>527</v>
      </c>
      <c r="D5" s="285" t="s">
        <v>527</v>
      </c>
      <c r="E5" s="104" t="s">
        <v>406</v>
      </c>
      <c r="F5" s="104" t="s">
        <v>406</v>
      </c>
      <c r="G5" s="104" t="s">
        <v>361</v>
      </c>
      <c r="H5" s="197"/>
      <c r="K5" s="104" t="s">
        <v>101</v>
      </c>
      <c r="L5" s="104" t="s">
        <v>422</v>
      </c>
      <c r="M5" s="104" t="s">
        <v>423</v>
      </c>
      <c r="N5" s="104" t="s">
        <v>408</v>
      </c>
      <c r="O5" s="104" t="s">
        <v>1</v>
      </c>
      <c r="P5" s="285" t="s">
        <v>527</v>
      </c>
      <c r="R5" s="285" t="s">
        <v>546</v>
      </c>
      <c r="S5" s="104" t="s">
        <v>410</v>
      </c>
      <c r="T5" s="285" t="s">
        <v>527</v>
      </c>
      <c r="V5" s="285" t="s">
        <v>546</v>
      </c>
      <c r="W5" s="104" t="s">
        <v>406</v>
      </c>
      <c r="AK5" s="103" t="s">
        <v>425</v>
      </c>
    </row>
    <row r="6" spans="1:37" x14ac:dyDescent="0.2">
      <c r="A6" s="104"/>
      <c r="B6" s="197" t="s">
        <v>1</v>
      </c>
      <c r="C6" s="197" t="s">
        <v>1</v>
      </c>
      <c r="D6" s="104" t="s">
        <v>35</v>
      </c>
      <c r="E6" s="104" t="s">
        <v>1</v>
      </c>
      <c r="F6" s="104" t="s">
        <v>35</v>
      </c>
      <c r="G6" s="104" t="s">
        <v>99</v>
      </c>
      <c r="H6" s="104" t="s">
        <v>99</v>
      </c>
      <c r="I6" s="104" t="s">
        <v>101</v>
      </c>
      <c r="J6" s="104" t="s">
        <v>101</v>
      </c>
      <c r="K6" s="104" t="s">
        <v>426</v>
      </c>
      <c r="L6" s="284" t="s">
        <v>549</v>
      </c>
      <c r="M6" s="104" t="s">
        <v>427</v>
      </c>
      <c r="N6" s="104" t="s">
        <v>427</v>
      </c>
      <c r="O6" s="104" t="s">
        <v>422</v>
      </c>
      <c r="P6" s="104" t="s">
        <v>428</v>
      </c>
      <c r="Q6" s="285" t="s">
        <v>527</v>
      </c>
      <c r="R6" s="104" t="s">
        <v>428</v>
      </c>
      <c r="S6" s="104" t="s">
        <v>410</v>
      </c>
      <c r="T6" s="104" t="s">
        <v>1</v>
      </c>
      <c r="U6" s="104" t="s">
        <v>35</v>
      </c>
      <c r="V6" s="104" t="s">
        <v>429</v>
      </c>
      <c r="W6" s="285" t="s">
        <v>546</v>
      </c>
      <c r="AK6" s="103" t="s">
        <v>430</v>
      </c>
    </row>
    <row r="7" spans="1:37" x14ac:dyDescent="0.2">
      <c r="A7" s="103" t="s">
        <v>105</v>
      </c>
      <c r="B7" s="197" t="s">
        <v>473</v>
      </c>
      <c r="C7" s="197" t="s">
        <v>473</v>
      </c>
      <c r="D7" s="104" t="s">
        <v>431</v>
      </c>
      <c r="E7" s="104" t="s">
        <v>407</v>
      </c>
      <c r="F7" s="104" t="s">
        <v>431</v>
      </c>
      <c r="G7" s="104" t="s">
        <v>432</v>
      </c>
      <c r="H7" s="104" t="s">
        <v>432</v>
      </c>
      <c r="I7" s="104" t="s">
        <v>426</v>
      </c>
      <c r="J7" s="104" t="s">
        <v>426</v>
      </c>
      <c r="K7" s="104" t="s">
        <v>99</v>
      </c>
      <c r="L7" s="284" t="s">
        <v>550</v>
      </c>
      <c r="M7" s="104" t="s">
        <v>433</v>
      </c>
      <c r="N7" s="104" t="s">
        <v>433</v>
      </c>
      <c r="O7" s="104" t="s">
        <v>434</v>
      </c>
      <c r="P7" s="104" t="s">
        <v>1</v>
      </c>
      <c r="Q7" s="104" t="s">
        <v>435</v>
      </c>
      <c r="R7" s="104" t="s">
        <v>1</v>
      </c>
      <c r="S7" s="104" t="s">
        <v>410</v>
      </c>
      <c r="T7" s="104" t="s">
        <v>407</v>
      </c>
      <c r="U7" s="104" t="s">
        <v>436</v>
      </c>
      <c r="V7" s="104" t="s">
        <v>1</v>
      </c>
      <c r="W7" s="104" t="s">
        <v>1</v>
      </c>
    </row>
    <row r="8" spans="1:37" x14ac:dyDescent="0.2">
      <c r="A8" s="105" t="s">
        <v>362</v>
      </c>
      <c r="B8" s="200" t="s">
        <v>422</v>
      </c>
      <c r="C8" s="200" t="s">
        <v>422</v>
      </c>
      <c r="D8" s="105" t="s">
        <v>422</v>
      </c>
      <c r="E8" s="105" t="s">
        <v>422</v>
      </c>
      <c r="F8" s="105" t="s">
        <v>422</v>
      </c>
      <c r="G8" s="147" t="s">
        <v>527</v>
      </c>
      <c r="H8" s="147" t="s">
        <v>546</v>
      </c>
      <c r="I8" s="105" t="s">
        <v>99</v>
      </c>
      <c r="J8" s="105" t="s">
        <v>438</v>
      </c>
      <c r="K8" s="105" t="s">
        <v>439</v>
      </c>
      <c r="L8" s="105" t="s">
        <v>440</v>
      </c>
      <c r="M8" s="105" t="s">
        <v>441</v>
      </c>
      <c r="N8" s="105" t="s">
        <v>441</v>
      </c>
      <c r="O8" s="105" t="s">
        <v>408</v>
      </c>
      <c r="P8" s="105" t="s">
        <v>47</v>
      </c>
      <c r="Q8" s="105" t="s">
        <v>35</v>
      </c>
      <c r="R8" s="105" t="s">
        <v>47</v>
      </c>
      <c r="S8" s="104" t="s">
        <v>410</v>
      </c>
      <c r="T8" s="105" t="s">
        <v>422</v>
      </c>
      <c r="U8" s="105" t="s">
        <v>42</v>
      </c>
      <c r="V8" s="105" t="s">
        <v>47</v>
      </c>
      <c r="W8" s="105" t="s">
        <v>47</v>
      </c>
      <c r="AJ8" s="103" t="s">
        <v>442</v>
      </c>
      <c r="AK8" s="103" t="s">
        <v>443</v>
      </c>
    </row>
    <row r="9" spans="1:37" x14ac:dyDescent="0.2">
      <c r="B9" s="370"/>
      <c r="C9" s="371"/>
      <c r="D9" s="164"/>
      <c r="E9" s="164"/>
      <c r="M9" s="165" t="s">
        <v>556</v>
      </c>
      <c r="N9" s="378"/>
      <c r="O9" s="166"/>
      <c r="S9" s="104" t="s">
        <v>410</v>
      </c>
      <c r="AK9" s="103" t="s">
        <v>444</v>
      </c>
    </row>
    <row r="10" spans="1:37" x14ac:dyDescent="0.2">
      <c r="A10" s="103" t="s">
        <v>6</v>
      </c>
      <c r="B10" s="372">
        <v>13180445.200000001</v>
      </c>
      <c r="C10" s="249">
        <v>13971271.912</v>
      </c>
      <c r="D10" s="368">
        <v>0.06</v>
      </c>
      <c r="E10" s="249">
        <v>14530122.788480001</v>
      </c>
      <c r="F10" s="368">
        <v>0.04</v>
      </c>
      <c r="G10" s="150"/>
      <c r="H10" s="150"/>
      <c r="I10" s="167"/>
      <c r="J10" s="167"/>
      <c r="K10" s="167"/>
      <c r="M10" s="168"/>
      <c r="N10" s="169"/>
      <c r="O10" s="167"/>
      <c r="P10" s="148"/>
      <c r="Q10" s="148"/>
      <c r="R10" s="148"/>
      <c r="S10" s="104" t="s">
        <v>410</v>
      </c>
      <c r="T10" s="150">
        <v>13971271.912</v>
      </c>
      <c r="U10" s="170">
        <v>1.8624703174220731E-2</v>
      </c>
      <c r="V10" s="150">
        <v>15625327.497156072</v>
      </c>
      <c r="W10" s="150">
        <v>15625327.497156072</v>
      </c>
      <c r="X10" s="148"/>
      <c r="Y10" s="148"/>
      <c r="AC10" s="148"/>
      <c r="AD10" s="148"/>
      <c r="AE10" s="148"/>
      <c r="AK10" s="103" t="s">
        <v>445</v>
      </c>
    </row>
    <row r="11" spans="1:37" x14ac:dyDescent="0.2">
      <c r="A11" s="103" t="s">
        <v>7</v>
      </c>
      <c r="B11" s="372">
        <v>3899032.5900000003</v>
      </c>
      <c r="C11" s="249">
        <v>4132974.5454000002</v>
      </c>
      <c r="D11" s="368">
        <v>0.06</v>
      </c>
      <c r="E11" s="249">
        <v>4339623.2726699999</v>
      </c>
      <c r="F11" s="368">
        <v>0.05</v>
      </c>
      <c r="G11" s="150"/>
      <c r="H11" s="150"/>
      <c r="I11" s="167"/>
      <c r="J11" s="167"/>
      <c r="K11" s="167"/>
      <c r="M11" s="168"/>
      <c r="N11" s="169"/>
      <c r="O11" s="167"/>
      <c r="P11" s="148"/>
      <c r="Q11" s="148"/>
      <c r="R11" s="148"/>
      <c r="S11" s="104" t="s">
        <v>410</v>
      </c>
      <c r="T11" s="150">
        <v>4132974.5454000002</v>
      </c>
      <c r="U11" s="170">
        <v>5.509550212716873E-3</v>
      </c>
      <c r="V11" s="148">
        <v>4622276.4266592953</v>
      </c>
      <c r="W11" s="150">
        <v>4622276.4266592953</v>
      </c>
      <c r="X11" s="148"/>
      <c r="Y11" s="148"/>
      <c r="AC11" s="148"/>
      <c r="AD11" s="148"/>
      <c r="AE11" s="148"/>
      <c r="AK11" s="103" t="s">
        <v>446</v>
      </c>
    </row>
    <row r="12" spans="1:37" x14ac:dyDescent="0.2">
      <c r="A12" s="103" t="s">
        <v>8</v>
      </c>
      <c r="B12" s="372">
        <v>558607664.37</v>
      </c>
      <c r="C12" s="249">
        <v>586538047.58850002</v>
      </c>
      <c r="D12" s="368">
        <v>0.05</v>
      </c>
      <c r="E12" s="249">
        <v>609999569.49204004</v>
      </c>
      <c r="F12" s="368">
        <v>0.04</v>
      </c>
      <c r="G12" s="150"/>
      <c r="H12" s="150"/>
      <c r="I12" s="167"/>
      <c r="J12" s="167"/>
      <c r="K12" s="167"/>
      <c r="M12" s="168"/>
      <c r="N12" s="168"/>
      <c r="O12" s="167"/>
      <c r="P12" s="148"/>
      <c r="Q12" s="148"/>
      <c r="R12" s="148"/>
      <c r="S12" s="104" t="s">
        <v>410</v>
      </c>
      <c r="T12" s="150">
        <v>586538047.58850002</v>
      </c>
      <c r="U12" s="170">
        <v>0.78189710325085016</v>
      </c>
      <c r="V12" s="148">
        <v>655978148.64952195</v>
      </c>
      <c r="W12" s="150">
        <v>655978148.64952195</v>
      </c>
      <c r="X12" s="148"/>
      <c r="Y12" s="148"/>
      <c r="AC12" s="148"/>
      <c r="AD12" s="148"/>
      <c r="AE12" s="148"/>
      <c r="AK12" s="103" t="s">
        <v>447</v>
      </c>
    </row>
    <row r="13" spans="1:37" x14ac:dyDescent="0.2">
      <c r="A13" s="103" t="s">
        <v>9</v>
      </c>
      <c r="B13" s="372">
        <v>10059871.449999999</v>
      </c>
      <c r="C13" s="249">
        <v>10261068.878999999</v>
      </c>
      <c r="D13" s="368">
        <v>0.02</v>
      </c>
      <c r="E13" s="249">
        <v>10568900.945369998</v>
      </c>
      <c r="F13" s="368">
        <v>0.03</v>
      </c>
      <c r="G13" s="148">
        <v>48478</v>
      </c>
      <c r="H13" s="148">
        <v>48553.081650317137</v>
      </c>
      <c r="I13" s="167">
        <v>1.5487778026555808E-3</v>
      </c>
      <c r="J13" s="167">
        <v>1.6E-2</v>
      </c>
      <c r="K13" s="167">
        <v>1.7500000000000002E-2</v>
      </c>
      <c r="L13" s="206">
        <v>4.9599999999999998E-2</v>
      </c>
      <c r="M13" s="279">
        <v>9968751.7800000012</v>
      </c>
      <c r="N13" s="279">
        <v>13781330.522533335</v>
      </c>
      <c r="O13" s="167">
        <v>-0.38245297171330844</v>
      </c>
      <c r="P13" s="150">
        <v>13955502.270400001</v>
      </c>
      <c r="Q13" s="171">
        <v>1.7500000000000002E-2</v>
      </c>
      <c r="R13" s="350">
        <v>14199723.560132001</v>
      </c>
      <c r="S13" s="104" t="s">
        <v>410</v>
      </c>
      <c r="T13" s="148"/>
      <c r="U13" s="148"/>
      <c r="V13" s="148"/>
      <c r="W13" s="150">
        <v>14199723.560132001</v>
      </c>
      <c r="X13" s="148"/>
      <c r="Y13" s="148"/>
      <c r="AC13" s="148"/>
      <c r="AD13" s="148"/>
      <c r="AE13" s="148"/>
      <c r="AK13" s="103" t="s">
        <v>448</v>
      </c>
    </row>
    <row r="14" spans="1:37" x14ac:dyDescent="0.2">
      <c r="A14" s="103" t="s">
        <v>10</v>
      </c>
      <c r="B14" s="372">
        <v>20633987.52</v>
      </c>
      <c r="C14" s="249">
        <v>21046667.270399999</v>
      </c>
      <c r="D14" s="368">
        <v>0.02</v>
      </c>
      <c r="E14" s="249">
        <v>21467600.615807999</v>
      </c>
      <c r="F14" s="368">
        <v>0.02</v>
      </c>
      <c r="G14" s="148"/>
      <c r="H14" s="148"/>
      <c r="I14" s="167"/>
      <c r="J14" s="167"/>
      <c r="K14" s="167"/>
      <c r="L14" s="206"/>
      <c r="M14" s="279"/>
      <c r="N14" s="279"/>
      <c r="O14" s="167"/>
      <c r="P14" s="150"/>
      <c r="Q14" s="171"/>
      <c r="R14" s="150"/>
      <c r="S14" s="104" t="s">
        <v>410</v>
      </c>
      <c r="T14" s="150">
        <v>21046667.270399999</v>
      </c>
      <c r="U14" s="170">
        <v>2.8056710454622668E-2</v>
      </c>
      <c r="V14" s="148">
        <v>23538377.242605615</v>
      </c>
      <c r="W14" s="150">
        <v>23538377.242605615</v>
      </c>
      <c r="X14" s="148"/>
      <c r="Y14" s="148"/>
      <c r="AC14" s="148"/>
      <c r="AD14" s="148"/>
      <c r="AE14" s="148"/>
    </row>
    <row r="15" spans="1:37" x14ac:dyDescent="0.2">
      <c r="A15" s="103" t="s">
        <v>11</v>
      </c>
      <c r="B15" s="372">
        <v>229140.11000000002</v>
      </c>
      <c r="C15" s="249">
        <v>332253.15950000001</v>
      </c>
      <c r="D15" s="368">
        <v>0.45</v>
      </c>
      <c r="E15" s="249">
        <v>348865.81747499999</v>
      </c>
      <c r="F15" s="368">
        <v>0.05</v>
      </c>
      <c r="G15" s="148">
        <v>858</v>
      </c>
      <c r="H15" s="148">
        <v>926.10015998366612</v>
      </c>
      <c r="I15" s="167">
        <v>7.9370815831778685E-2</v>
      </c>
      <c r="J15" s="167">
        <v>1.6E-2</v>
      </c>
      <c r="K15" s="167">
        <v>9.5399999999999999E-2</v>
      </c>
      <c r="L15" s="206">
        <v>4.9599999999999998E-2</v>
      </c>
      <c r="M15" s="279">
        <v>275566.18</v>
      </c>
      <c r="N15" s="279">
        <v>1005703.0329750001</v>
      </c>
      <c r="O15" s="167">
        <v>-2.6495880335351756</v>
      </c>
      <c r="P15" s="150">
        <v>1012545.3957</v>
      </c>
      <c r="Q15" s="171">
        <v>4.9599999999999998E-2</v>
      </c>
      <c r="R15" s="350">
        <v>1062767.6473267199</v>
      </c>
      <c r="S15" s="104" t="s">
        <v>410</v>
      </c>
      <c r="T15" s="148"/>
      <c r="U15" s="148"/>
      <c r="V15" s="148"/>
      <c r="W15" s="150">
        <v>1062767.6473267199</v>
      </c>
      <c r="X15" s="148"/>
      <c r="Y15" s="148"/>
      <c r="AC15" s="148"/>
      <c r="AD15" s="148"/>
      <c r="AE15" s="148"/>
      <c r="AK15" s="103" t="s">
        <v>449</v>
      </c>
    </row>
    <row r="16" spans="1:37" x14ac:dyDescent="0.2">
      <c r="A16" s="103" t="s">
        <v>12</v>
      </c>
      <c r="B16" s="372">
        <v>4183946.0800000005</v>
      </c>
      <c r="C16" s="249">
        <v>3347156.8640000005</v>
      </c>
      <c r="D16" s="368">
        <v>-0.2</v>
      </c>
      <c r="E16" s="249">
        <v>3347156.8640000005</v>
      </c>
      <c r="F16" s="368">
        <v>0</v>
      </c>
      <c r="G16" s="148"/>
      <c r="H16" s="148"/>
      <c r="I16" s="167"/>
      <c r="J16" s="167"/>
      <c r="K16" s="167"/>
      <c r="L16" s="206"/>
      <c r="M16" s="279"/>
      <c r="N16" s="279"/>
      <c r="O16" s="167"/>
      <c r="P16" s="150"/>
      <c r="Q16" s="171"/>
      <c r="R16" s="150"/>
      <c r="S16" s="104" t="s">
        <v>410</v>
      </c>
      <c r="T16" s="150">
        <v>3347156.8640000005</v>
      </c>
      <c r="U16" s="170">
        <v>4.4619991266515637E-3</v>
      </c>
      <c r="V16" s="148">
        <v>3743425.9753711321</v>
      </c>
      <c r="W16" s="150">
        <v>3743425.9753711321</v>
      </c>
      <c r="X16" s="148"/>
      <c r="AC16" s="148"/>
      <c r="AD16" s="148"/>
      <c r="AE16" s="148"/>
    </row>
    <row r="17" spans="1:31" x14ac:dyDescent="0.2">
      <c r="A17" s="103" t="s">
        <v>13</v>
      </c>
      <c r="B17" s="372">
        <v>11710807.01</v>
      </c>
      <c r="C17" s="249">
        <v>11710807.01</v>
      </c>
      <c r="D17" s="368">
        <v>0</v>
      </c>
      <c r="E17" s="249">
        <v>11827915.0801</v>
      </c>
      <c r="F17" s="368">
        <v>0.01</v>
      </c>
      <c r="G17" s="148"/>
      <c r="H17" s="148"/>
      <c r="I17" s="167"/>
      <c r="J17" s="167"/>
      <c r="K17" s="167"/>
      <c r="L17" s="206"/>
      <c r="M17" s="279"/>
      <c r="N17" s="279"/>
      <c r="O17" s="167"/>
      <c r="P17" s="150"/>
      <c r="Q17" s="148"/>
      <c r="R17" s="150"/>
      <c r="S17" s="104" t="s">
        <v>410</v>
      </c>
      <c r="T17" s="150">
        <v>11710807.01</v>
      </c>
      <c r="U17" s="170">
        <v>1.5611342035688053E-2</v>
      </c>
      <c r="V17" s="148">
        <v>13097246.688762398</v>
      </c>
      <c r="W17" s="150">
        <v>13097246.688762398</v>
      </c>
      <c r="X17" s="148"/>
      <c r="Y17" s="148"/>
      <c r="AC17" s="148"/>
      <c r="AD17" s="148"/>
      <c r="AE17" s="148"/>
    </row>
    <row r="18" spans="1:31" x14ac:dyDescent="0.2">
      <c r="A18" s="103" t="s">
        <v>14</v>
      </c>
      <c r="B18" s="372">
        <v>4213942.7299999995</v>
      </c>
      <c r="C18" s="249">
        <v>4003245.5934999995</v>
      </c>
      <c r="D18" s="368">
        <v>-0.05</v>
      </c>
      <c r="E18" s="249">
        <v>3803083.3138249996</v>
      </c>
      <c r="F18" s="368">
        <v>-0.05</v>
      </c>
      <c r="G18" s="148">
        <v>6343</v>
      </c>
      <c r="H18" s="148">
        <v>6560.108465540523</v>
      </c>
      <c r="I18" s="167">
        <v>3.4228041232937559E-2</v>
      </c>
      <c r="J18" s="167">
        <v>1.6E-2</v>
      </c>
      <c r="K18" s="167">
        <v>5.0200000000000002E-2</v>
      </c>
      <c r="L18" s="206">
        <v>4.9599999999999998E-2</v>
      </c>
      <c r="M18" s="279">
        <v>3808006.13</v>
      </c>
      <c r="N18" s="279">
        <v>2538838.9964000005</v>
      </c>
      <c r="O18" s="167">
        <v>0.33328915192686398</v>
      </c>
      <c r="P18" s="150">
        <v>2583239.9928000001</v>
      </c>
      <c r="Q18" s="171">
        <v>4.9599999999999998E-2</v>
      </c>
      <c r="R18" s="350">
        <v>2711368.6964428802</v>
      </c>
      <c r="S18" s="104" t="s">
        <v>410</v>
      </c>
      <c r="T18" s="148"/>
      <c r="U18" s="170"/>
      <c r="V18" s="148"/>
      <c r="W18" s="150">
        <v>2711368.6964428802</v>
      </c>
      <c r="X18" s="148"/>
      <c r="Y18" s="148"/>
      <c r="AC18" s="148"/>
      <c r="AD18" s="148"/>
      <c r="AE18" s="148"/>
    </row>
    <row r="19" spans="1:31" x14ac:dyDescent="0.2">
      <c r="A19" s="103" t="s">
        <v>15</v>
      </c>
      <c r="B19" s="372">
        <v>367918</v>
      </c>
      <c r="C19" s="249">
        <v>441501.6</v>
      </c>
      <c r="D19" s="368">
        <v>0.2</v>
      </c>
      <c r="E19" s="249">
        <v>463576.68</v>
      </c>
      <c r="F19" s="368">
        <v>0.05</v>
      </c>
      <c r="G19" s="148">
        <v>5020</v>
      </c>
      <c r="H19" s="148">
        <v>5003.9397369411636</v>
      </c>
      <c r="I19" s="167">
        <v>-3.1992555894096468E-3</v>
      </c>
      <c r="J19" s="167">
        <v>1.6E-2</v>
      </c>
      <c r="K19" s="167">
        <v>1.2800000000000001E-2</v>
      </c>
      <c r="L19" s="206">
        <v>4.9599999999999998E-2</v>
      </c>
      <c r="M19" s="279">
        <v>409805.32000000007</v>
      </c>
      <c r="N19" s="279">
        <v>1073016.9880666668</v>
      </c>
      <c r="O19" s="167">
        <v>-1.6183578779959875</v>
      </c>
      <c r="P19" s="150">
        <v>1073177.8568</v>
      </c>
      <c r="Q19" s="171">
        <v>1.2800000000000001E-2</v>
      </c>
      <c r="R19" s="350">
        <v>1086914.5333670399</v>
      </c>
      <c r="S19" s="104" t="s">
        <v>410</v>
      </c>
      <c r="T19" s="148"/>
      <c r="U19" s="148"/>
      <c r="V19" s="148"/>
      <c r="W19" s="150">
        <v>1086914.5333670399</v>
      </c>
      <c r="X19" s="148"/>
      <c r="Y19" s="148"/>
      <c r="AC19" s="148"/>
      <c r="AD19" s="148"/>
      <c r="AE19" s="148"/>
    </row>
    <row r="20" spans="1:31" x14ac:dyDescent="0.2">
      <c r="A20" s="310" t="s">
        <v>16</v>
      </c>
      <c r="B20" s="372">
        <v>5356415.5600000005</v>
      </c>
      <c r="C20" s="249">
        <v>5651018.4158000005</v>
      </c>
      <c r="D20" s="368">
        <v>5.5E-2</v>
      </c>
      <c r="E20" s="249">
        <v>5764038.7841160009</v>
      </c>
      <c r="F20" s="368">
        <v>0.02</v>
      </c>
      <c r="G20" s="148">
        <v>52960</v>
      </c>
      <c r="H20" s="148">
        <v>53343.940391185446</v>
      </c>
      <c r="I20" s="167">
        <v>7.2496297429276071E-3</v>
      </c>
      <c r="J20" s="167">
        <v>1.6E-2</v>
      </c>
      <c r="K20" s="167">
        <v>2.3199999999999998E-2</v>
      </c>
      <c r="L20" s="206">
        <v>4.9599999999999998E-2</v>
      </c>
      <c r="M20" s="279">
        <v>5453112.0599999996</v>
      </c>
      <c r="N20" s="279">
        <v>10100840.502383333</v>
      </c>
      <c r="O20" s="167">
        <v>-0.85230752481241578</v>
      </c>
      <c r="P20" s="150">
        <v>10248643.228599999</v>
      </c>
      <c r="Q20" s="171">
        <v>2.3199999999999998E-2</v>
      </c>
      <c r="R20" s="350">
        <v>10486411.75150352</v>
      </c>
      <c r="S20" s="104" t="s">
        <v>410</v>
      </c>
      <c r="T20" s="148"/>
      <c r="U20" s="148"/>
      <c r="V20" s="148"/>
      <c r="W20" s="150">
        <v>10486411.75150352</v>
      </c>
      <c r="X20" s="148"/>
      <c r="Y20" s="148"/>
      <c r="AC20" s="148"/>
      <c r="AD20" s="148"/>
      <c r="AE20" s="148"/>
    </row>
    <row r="21" spans="1:31" x14ac:dyDescent="0.2">
      <c r="A21" s="103" t="s">
        <v>17</v>
      </c>
      <c r="B21" s="372">
        <v>733399.15</v>
      </c>
      <c r="C21" s="249">
        <v>762735.11600000004</v>
      </c>
      <c r="D21" s="368">
        <v>0.04</v>
      </c>
      <c r="E21" s="249">
        <v>770362.46716</v>
      </c>
      <c r="F21" s="368">
        <v>0.01</v>
      </c>
      <c r="G21" s="148">
        <v>4662</v>
      </c>
      <c r="H21" s="148">
        <v>4584.1322201190815</v>
      </c>
      <c r="I21" s="167">
        <v>-1.6702655487112514E-2</v>
      </c>
      <c r="J21" s="167">
        <v>1.6E-2</v>
      </c>
      <c r="K21" s="167">
        <v>-6.9999999999999999E-4</v>
      </c>
      <c r="L21" s="206">
        <v>4.9599999999999998E-2</v>
      </c>
      <c r="M21" s="279">
        <v>740462.40000000014</v>
      </c>
      <c r="N21" s="279">
        <v>1471386.4640000002</v>
      </c>
      <c r="O21" s="167">
        <v>-0.98711840601224299</v>
      </c>
      <c r="P21" s="150">
        <v>1480452.7679999999</v>
      </c>
      <c r="Q21" s="171">
        <v>-6.9999999999999999E-4</v>
      </c>
      <c r="R21" s="350">
        <v>1479416.4510623999</v>
      </c>
      <c r="S21" s="104" t="s">
        <v>410</v>
      </c>
      <c r="T21" s="148"/>
      <c r="U21" s="148"/>
      <c r="V21" s="148"/>
      <c r="W21" s="150">
        <v>1479416.4510623999</v>
      </c>
      <c r="X21" s="148"/>
      <c r="Y21" s="148"/>
      <c r="AC21" s="148"/>
      <c r="AD21" s="148"/>
      <c r="AE21" s="148"/>
    </row>
    <row r="22" spans="1:31" x14ac:dyDescent="0.2">
      <c r="A22" s="103" t="s">
        <v>18</v>
      </c>
      <c r="B22" s="372">
        <v>7639009.9799999995</v>
      </c>
      <c r="C22" s="249">
        <v>7639009.9799999995</v>
      </c>
      <c r="D22" s="368">
        <v>0</v>
      </c>
      <c r="E22" s="249">
        <v>7715400.0797999995</v>
      </c>
      <c r="F22" s="368">
        <v>0.01</v>
      </c>
      <c r="G22" s="148"/>
      <c r="H22" s="148"/>
      <c r="I22" s="167"/>
      <c r="J22" s="167"/>
      <c r="K22" s="167"/>
      <c r="L22" s="206"/>
      <c r="M22" s="279"/>
      <c r="N22" s="279"/>
      <c r="O22" s="167"/>
      <c r="P22" s="150"/>
      <c r="Q22" s="171"/>
      <c r="R22" s="150"/>
      <c r="S22" s="104" t="s">
        <v>410</v>
      </c>
      <c r="T22" s="150">
        <v>7639009.9799999995</v>
      </c>
      <c r="U22" s="170">
        <v>1.0183345819803971E-2</v>
      </c>
      <c r="V22" s="148">
        <v>8543390.5691165421</v>
      </c>
      <c r="W22" s="150">
        <v>8543390.5691165421</v>
      </c>
      <c r="X22" s="148"/>
      <c r="Y22" s="148"/>
      <c r="AC22" s="148"/>
      <c r="AD22" s="148"/>
      <c r="AE22" s="148"/>
    </row>
    <row r="23" spans="1:31" x14ac:dyDescent="0.2">
      <c r="A23" s="103" t="s">
        <v>19</v>
      </c>
      <c r="B23" s="372">
        <v>1292009.1800000002</v>
      </c>
      <c r="C23" s="249">
        <v>1124047.9866000002</v>
      </c>
      <c r="D23" s="368">
        <v>-0.13</v>
      </c>
      <c r="E23" s="249">
        <v>1180250.3859300001</v>
      </c>
      <c r="F23" s="368">
        <v>0.05</v>
      </c>
      <c r="G23" s="148">
        <v>6882</v>
      </c>
      <c r="H23" s="148">
        <v>6714.2439856510646</v>
      </c>
      <c r="I23" s="167">
        <v>-2.4376055557822643E-2</v>
      </c>
      <c r="J23" s="167">
        <v>1.6E-2</v>
      </c>
      <c r="K23" s="167">
        <v>-8.3999999999999995E-3</v>
      </c>
      <c r="L23" s="206">
        <v>4.9599999999999998E-2</v>
      </c>
      <c r="M23" s="279">
        <v>1164673.8800000001</v>
      </c>
      <c r="N23" s="279">
        <v>1830009.0079916669</v>
      </c>
      <c r="O23" s="167">
        <v>-0.57126302857557576</v>
      </c>
      <c r="P23" s="150">
        <v>1827535.2959</v>
      </c>
      <c r="Q23" s="171">
        <v>-8.3999999999999995E-3</v>
      </c>
      <c r="R23" s="350">
        <v>1812183.99941444</v>
      </c>
      <c r="S23" s="104" t="s">
        <v>410</v>
      </c>
      <c r="T23" s="150"/>
      <c r="U23" s="148"/>
      <c r="V23" s="148"/>
      <c r="W23" s="150">
        <v>1812183.99941444</v>
      </c>
      <c r="X23" s="148"/>
      <c r="AC23" s="148"/>
      <c r="AD23" s="148"/>
      <c r="AE23" s="148"/>
    </row>
    <row r="24" spans="1:31" ht="12.75" customHeight="1" x14ac:dyDescent="0.2">
      <c r="A24" s="160" t="s">
        <v>20</v>
      </c>
      <c r="B24" s="372">
        <v>1366377.35</v>
      </c>
      <c r="C24" s="249">
        <v>1646484.7067500001</v>
      </c>
      <c r="D24" s="368">
        <v>0.20499999999999999</v>
      </c>
      <c r="E24" s="249">
        <v>1597090.1655475001</v>
      </c>
      <c r="F24" s="368">
        <v>-0.03</v>
      </c>
      <c r="G24" s="148">
        <v>4017</v>
      </c>
      <c r="H24" s="148">
        <v>3974.1505161658238</v>
      </c>
      <c r="I24" s="167">
        <v>-1.0667036055308993E-2</v>
      </c>
      <c r="J24" s="167">
        <v>1.6E-2</v>
      </c>
      <c r="K24" s="167">
        <v>5.3E-3</v>
      </c>
      <c r="L24" s="206">
        <v>4.9599999999999998E-2</v>
      </c>
      <c r="M24" s="279">
        <v>1762762.0100000002</v>
      </c>
      <c r="N24" s="279">
        <v>1498134.4795833332</v>
      </c>
      <c r="O24" s="167">
        <v>0.15012096296349553</v>
      </c>
      <c r="P24" s="249">
        <v>1494379.5549999999</v>
      </c>
      <c r="Q24" s="380"/>
      <c r="R24" s="372"/>
      <c r="S24" s="104" t="s">
        <v>410</v>
      </c>
      <c r="T24" s="150">
        <v>1646484.7067500001</v>
      </c>
      <c r="U24" s="358">
        <v>2.1948816927522567E-3</v>
      </c>
      <c r="V24" s="375">
        <v>1841411.6426959517</v>
      </c>
      <c r="W24" s="150">
        <v>1841411.6426959517</v>
      </c>
      <c r="X24" s="148"/>
      <c r="Y24" s="148"/>
      <c r="AC24" s="148"/>
      <c r="AD24" s="148"/>
      <c r="AE24" s="148"/>
    </row>
    <row r="25" spans="1:31" ht="12.75" customHeight="1" x14ac:dyDescent="0.2">
      <c r="A25" s="103" t="s">
        <v>21</v>
      </c>
      <c r="B25" s="372">
        <v>95347561.769999996</v>
      </c>
      <c r="C25" s="249">
        <v>100114939.85849999</v>
      </c>
      <c r="D25" s="368">
        <v>0.05</v>
      </c>
      <c r="E25" s="249">
        <v>104119537.45283999</v>
      </c>
      <c r="F25" s="368">
        <v>0.04</v>
      </c>
      <c r="G25" s="148"/>
      <c r="H25" s="148"/>
      <c r="I25" s="167"/>
      <c r="J25" s="167"/>
      <c r="K25" s="167"/>
      <c r="L25" s="206"/>
      <c r="M25" s="279"/>
      <c r="N25" s="279"/>
      <c r="O25" s="167"/>
      <c r="P25" s="150"/>
      <c r="Q25" s="148"/>
      <c r="R25" s="150"/>
      <c r="S25" s="104" t="s">
        <v>410</v>
      </c>
      <c r="T25" s="150">
        <v>100114939.85849999</v>
      </c>
      <c r="U25" s="170">
        <v>0.13346036423269367</v>
      </c>
      <c r="V25" s="148">
        <v>111967523.9663424</v>
      </c>
      <c r="W25" s="150">
        <v>111967523.9663424</v>
      </c>
      <c r="X25" s="148"/>
      <c r="Y25" s="148"/>
      <c r="AC25" s="148"/>
      <c r="AD25" s="148"/>
      <c r="AE25" s="148"/>
    </row>
    <row r="26" spans="1:31" ht="12.75" customHeight="1" x14ac:dyDescent="0.2">
      <c r="A26" s="103" t="s">
        <v>22</v>
      </c>
      <c r="B26" s="373">
        <v>3726383.9800000004</v>
      </c>
      <c r="C26" s="355">
        <v>3800911.6596000004</v>
      </c>
      <c r="D26" s="377">
        <v>0.02</v>
      </c>
      <c r="E26" s="355">
        <v>3838920.7761960002</v>
      </c>
      <c r="F26" s="377">
        <v>0.01</v>
      </c>
      <c r="G26" s="175">
        <v>10095</v>
      </c>
      <c r="H26" s="175">
        <v>10217.809431969765</v>
      </c>
      <c r="I26" s="176">
        <v>1.2165372161442771E-2</v>
      </c>
      <c r="J26" s="167">
        <v>1.6E-2</v>
      </c>
      <c r="K26" s="176">
        <v>2.8199999999999999E-2</v>
      </c>
      <c r="L26" s="206">
        <v>4.9599999999999998E-2</v>
      </c>
      <c r="M26" s="280">
        <v>3930795.2199999997</v>
      </c>
      <c r="N26" s="280">
        <v>2582937.5139000001</v>
      </c>
      <c r="O26" s="167">
        <v>0.34289695358386024</v>
      </c>
      <c r="P26" s="175">
        <v>2622487.3668</v>
      </c>
      <c r="Q26" s="173">
        <v>2.8199999999999999E-2</v>
      </c>
      <c r="R26" s="175">
        <v>2696441.5105437599</v>
      </c>
      <c r="S26" s="177" t="s">
        <v>410</v>
      </c>
      <c r="T26" s="172"/>
      <c r="U26" s="172"/>
      <c r="V26" s="172"/>
      <c r="W26" s="175">
        <v>2696441.5105437599</v>
      </c>
      <c r="X26" s="148"/>
      <c r="Y26" s="148"/>
      <c r="AC26" s="148"/>
      <c r="AD26" s="148"/>
      <c r="AE26" s="148"/>
    </row>
    <row r="27" spans="1:31" ht="12.75" customHeight="1" x14ac:dyDescent="0.2">
      <c r="B27" s="374"/>
      <c r="C27" s="357"/>
      <c r="D27" s="356"/>
      <c r="E27" s="357"/>
      <c r="F27" s="356"/>
      <c r="G27" s="156"/>
      <c r="H27" s="156"/>
      <c r="I27" s="176"/>
      <c r="J27" s="176"/>
      <c r="K27" s="176"/>
      <c r="L27" s="251"/>
      <c r="M27" s="174"/>
      <c r="O27" s="176"/>
      <c r="P27" s="174"/>
      <c r="Q27" s="173"/>
      <c r="R27" s="174"/>
      <c r="S27" s="178"/>
      <c r="T27" s="174"/>
      <c r="U27" s="174"/>
      <c r="V27" s="174"/>
      <c r="X27" s="148"/>
      <c r="Y27" s="148"/>
      <c r="AC27" s="148"/>
      <c r="AD27" s="148"/>
      <c r="AE27" s="148"/>
    </row>
    <row r="28" spans="1:31" ht="12.75" customHeight="1" x14ac:dyDescent="0.2">
      <c r="D28" s="161"/>
      <c r="E28" s="161"/>
      <c r="F28" s="161"/>
      <c r="I28" s="148"/>
      <c r="J28" s="148"/>
      <c r="K28" s="148"/>
      <c r="M28" s="148"/>
      <c r="O28" s="148"/>
      <c r="P28" s="148"/>
      <c r="Q28" s="148"/>
      <c r="R28" s="148"/>
      <c r="S28" s="104" t="s">
        <v>410</v>
      </c>
      <c r="U28" s="148"/>
      <c r="V28" s="148"/>
      <c r="Y28" s="148"/>
      <c r="AC28" s="148"/>
      <c r="AE28" s="148"/>
    </row>
    <row r="29" spans="1:31" ht="12.75" customHeight="1" thickBot="1" x14ac:dyDescent="0.25">
      <c r="A29" s="103" t="s">
        <v>450</v>
      </c>
      <c r="B29" s="249">
        <v>742547912.02999997</v>
      </c>
      <c r="C29" s="249">
        <v>776524142.14555013</v>
      </c>
      <c r="D29" s="203">
        <v>4.5756279918241119E-2</v>
      </c>
      <c r="E29" s="249">
        <v>805682014.98135734</v>
      </c>
      <c r="F29" s="203">
        <v>3.7549216119982409E-2</v>
      </c>
      <c r="G29" s="179">
        <v>139315</v>
      </c>
      <c r="H29" s="179">
        <v>139877.50655787365</v>
      </c>
      <c r="I29" s="148"/>
      <c r="J29" s="148"/>
      <c r="K29" s="148"/>
      <c r="L29" s="148"/>
      <c r="M29" s="180">
        <v>27513934.979999997</v>
      </c>
      <c r="N29" s="109">
        <v>35882197.507833339</v>
      </c>
      <c r="O29" s="150"/>
      <c r="P29" s="180">
        <v>36297963.730000004</v>
      </c>
      <c r="Q29" s="150"/>
      <c r="R29" s="180">
        <v>35535228.149792761</v>
      </c>
      <c r="S29" s="181" t="s">
        <v>410</v>
      </c>
      <c r="T29" s="180">
        <v>750147359.73555005</v>
      </c>
      <c r="U29" s="182">
        <v>1</v>
      </c>
      <c r="V29" s="180">
        <v>838957128.65823138</v>
      </c>
      <c r="W29" s="180">
        <v>874492356.80802405</v>
      </c>
      <c r="X29" s="148"/>
      <c r="Y29" s="148"/>
      <c r="AC29" s="148"/>
      <c r="AD29" s="148"/>
      <c r="AE29" s="148"/>
    </row>
    <row r="30" spans="1:31" ht="12.75" customHeight="1" thickTop="1" x14ac:dyDescent="0.2">
      <c r="B30" s="249"/>
      <c r="C30" s="249"/>
      <c r="D30" s="203"/>
      <c r="E30" s="249"/>
      <c r="F30" s="358"/>
      <c r="G30" s="148"/>
      <c r="H30" s="148"/>
      <c r="I30" s="148"/>
      <c r="J30" s="148"/>
      <c r="K30" s="148"/>
      <c r="L30" s="148"/>
      <c r="M30" s="150"/>
      <c r="N30" s="150"/>
      <c r="O30" s="150"/>
      <c r="P30" s="150"/>
      <c r="Q30" s="150"/>
      <c r="R30" s="150"/>
      <c r="S30" s="183"/>
      <c r="T30" s="150"/>
      <c r="U30" s="170"/>
      <c r="V30" s="184"/>
      <c r="X30" s="148"/>
      <c r="Y30" s="148"/>
      <c r="AC30" s="148"/>
      <c r="AD30" s="148"/>
      <c r="AE30" s="148"/>
    </row>
    <row r="31" spans="1:31" ht="12.75" customHeight="1" x14ac:dyDescent="0.2">
      <c r="A31" s="103" t="s">
        <v>5</v>
      </c>
      <c r="B31" s="249"/>
      <c r="C31" s="249"/>
      <c r="D31" s="203"/>
      <c r="E31" s="249"/>
      <c r="F31" s="358"/>
      <c r="G31" s="148"/>
      <c r="H31" s="148"/>
      <c r="I31" s="148"/>
      <c r="J31" s="148"/>
      <c r="K31" s="148"/>
      <c r="L31" s="148"/>
      <c r="M31" s="150"/>
      <c r="N31" s="150"/>
      <c r="O31" s="150"/>
      <c r="P31" s="150"/>
      <c r="Q31" s="150"/>
      <c r="R31" s="150"/>
      <c r="S31" s="183"/>
      <c r="T31" s="150"/>
      <c r="U31" s="170"/>
      <c r="V31" s="184"/>
      <c r="X31" s="148"/>
      <c r="Y31" s="148"/>
      <c r="AC31" s="148"/>
      <c r="AD31" s="148"/>
      <c r="AE31" s="148"/>
    </row>
    <row r="32" spans="1:31" s="107" customFormat="1" x14ac:dyDescent="0.2">
      <c r="A32" s="107" t="s">
        <v>451</v>
      </c>
      <c r="B32" s="355">
        <v>73061940.75</v>
      </c>
      <c r="C32" s="355">
        <v>80368134.825000003</v>
      </c>
      <c r="D32" s="354">
        <v>0.1</v>
      </c>
      <c r="E32" s="355">
        <v>84386541.566249996</v>
      </c>
      <c r="F32" s="354">
        <v>0.05</v>
      </c>
      <c r="Y32" s="174"/>
      <c r="AC32" s="174"/>
      <c r="AE32" s="174"/>
    </row>
    <row r="33" spans="1:235" ht="12.75" customHeight="1" x14ac:dyDescent="0.2">
      <c r="D33" s="151"/>
      <c r="I33" s="150"/>
      <c r="Q33" s="287" t="s">
        <v>547</v>
      </c>
      <c r="U33" s="186">
        <v>815609852.77999997</v>
      </c>
      <c r="AC33" s="148"/>
      <c r="AE33" s="148"/>
    </row>
    <row r="34" spans="1:235" ht="12.75" customHeight="1" thickBot="1" x14ac:dyDescent="0.25">
      <c r="A34" s="108" t="s">
        <v>5</v>
      </c>
      <c r="B34" s="207">
        <v>815609852.77999997</v>
      </c>
      <c r="C34" s="207">
        <v>856892276.97055018</v>
      </c>
      <c r="D34" s="185">
        <v>5.0615406434632172E-2</v>
      </c>
      <c r="E34" s="109">
        <v>890068556.5476073</v>
      </c>
      <c r="F34" s="185">
        <v>3.8716978164803011E-2</v>
      </c>
      <c r="I34" s="150"/>
      <c r="Q34" s="287" t="s">
        <v>538</v>
      </c>
      <c r="U34" s="186">
        <v>841896662.12356555</v>
      </c>
      <c r="V34" s="187">
        <v>3.2229636822026113E-2</v>
      </c>
      <c r="W34" s="117"/>
      <c r="AC34" s="148"/>
      <c r="AE34" s="148"/>
    </row>
    <row r="35" spans="1:235" ht="12.75" customHeight="1" thickTop="1" x14ac:dyDescent="0.2">
      <c r="A35" s="188"/>
      <c r="B35" s="189"/>
      <c r="C35" s="189"/>
      <c r="D35" s="190"/>
      <c r="E35" s="189"/>
      <c r="F35" s="188"/>
      <c r="G35" s="188"/>
      <c r="H35" s="188"/>
      <c r="I35" s="150"/>
      <c r="J35" s="188"/>
      <c r="K35" s="188"/>
      <c r="L35" s="188"/>
      <c r="M35" s="188"/>
      <c r="N35" s="188"/>
      <c r="O35" s="188"/>
      <c r="P35" s="188"/>
      <c r="Q35" s="287" t="s">
        <v>548</v>
      </c>
      <c r="R35" s="188"/>
      <c r="S35" s="188"/>
      <c r="T35" s="188"/>
      <c r="U35" s="186">
        <v>874492356.80802417</v>
      </c>
      <c r="V35" s="187">
        <v>3.8716978164802997E-2</v>
      </c>
      <c r="W35" s="188"/>
      <c r="X35" s="188"/>
      <c r="Y35" s="188"/>
      <c r="Z35" s="188"/>
      <c r="AA35" s="188"/>
      <c r="AB35" s="188"/>
      <c r="AC35" s="191"/>
      <c r="AD35" s="188"/>
      <c r="AE35" s="191"/>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188"/>
      <c r="FF35" s="188"/>
      <c r="FG35" s="188"/>
      <c r="FH35" s="188"/>
      <c r="FI35" s="188"/>
      <c r="FJ35" s="188"/>
      <c r="FK35" s="188"/>
      <c r="FL35" s="188"/>
      <c r="FM35" s="188"/>
      <c r="FN35" s="188"/>
      <c r="FO35" s="188"/>
      <c r="FP35" s="188"/>
      <c r="FQ35" s="188"/>
      <c r="FR35" s="188"/>
      <c r="FS35" s="188"/>
      <c r="FT35" s="188"/>
      <c r="FU35" s="188"/>
      <c r="FV35" s="188"/>
      <c r="FW35" s="188"/>
      <c r="FX35" s="188"/>
      <c r="FY35" s="188"/>
      <c r="FZ35" s="188"/>
      <c r="GA35" s="188"/>
      <c r="GB35" s="188"/>
      <c r="GC35" s="188"/>
      <c r="GD35" s="188"/>
      <c r="GE35" s="188"/>
      <c r="GF35" s="188"/>
      <c r="GG35" s="188"/>
      <c r="GH35" s="188"/>
      <c r="GI35" s="188"/>
      <c r="GJ35" s="188"/>
      <c r="GK35" s="188"/>
      <c r="GL35" s="188"/>
      <c r="GM35" s="188"/>
      <c r="GN35" s="188"/>
      <c r="GO35" s="188"/>
      <c r="GP35" s="188"/>
      <c r="GQ35" s="188"/>
      <c r="GR35" s="188"/>
      <c r="GS35" s="188"/>
      <c r="GT35" s="188"/>
      <c r="GU35" s="188"/>
      <c r="GV35" s="188"/>
      <c r="GW35" s="188"/>
      <c r="GX35" s="188"/>
      <c r="GY35" s="188"/>
      <c r="GZ35" s="188"/>
      <c r="HA35" s="188"/>
      <c r="HB35" s="188"/>
      <c r="HC35" s="188"/>
      <c r="HD35" s="188"/>
      <c r="HE35" s="188"/>
      <c r="HF35" s="188"/>
      <c r="HG35" s="188"/>
      <c r="HH35" s="188"/>
      <c r="HI35" s="188"/>
      <c r="HJ35" s="188"/>
      <c r="HK35" s="188"/>
      <c r="HL35" s="188"/>
      <c r="HM35" s="188"/>
      <c r="HN35" s="188"/>
      <c r="HO35" s="188"/>
      <c r="HP35" s="188"/>
      <c r="HQ35" s="188"/>
      <c r="HR35" s="188"/>
      <c r="HS35" s="188"/>
      <c r="HT35" s="188"/>
      <c r="HU35" s="188"/>
      <c r="HV35" s="188"/>
      <c r="HW35" s="188"/>
      <c r="HX35" s="188"/>
      <c r="HY35" s="188"/>
      <c r="HZ35" s="188"/>
      <c r="IA35" s="188"/>
    </row>
    <row r="36" spans="1:235" ht="12.75" customHeight="1" x14ac:dyDescent="0.2">
      <c r="B36" s="227"/>
      <c r="I36" s="150"/>
      <c r="Y36" s="148"/>
      <c r="AC36" s="148"/>
    </row>
    <row r="37" spans="1:235" ht="12.75" customHeight="1" x14ac:dyDescent="0.2">
      <c r="A37" s="108"/>
      <c r="B37" s="227"/>
      <c r="I37" s="150"/>
      <c r="Y37" s="148"/>
      <c r="AC37" s="148"/>
    </row>
    <row r="38" spans="1:235" ht="12.75" customHeight="1" x14ac:dyDescent="0.2">
      <c r="E38" s="381"/>
      <c r="G38" s="148"/>
      <c r="H38" s="148"/>
      <c r="I38" s="150"/>
      <c r="J38" s="167"/>
      <c r="M38" s="148"/>
      <c r="Q38" s="104"/>
    </row>
    <row r="39" spans="1:235" ht="12.75" customHeight="1" x14ac:dyDescent="0.2">
      <c r="E39" s="148"/>
      <c r="G39" s="148"/>
      <c r="H39" s="148"/>
      <c r="I39" s="150"/>
      <c r="J39" s="167"/>
      <c r="M39" s="148"/>
      <c r="Q39" s="104"/>
      <c r="Y39" s="148"/>
    </row>
    <row r="40" spans="1:235" ht="12.75" customHeight="1" x14ac:dyDescent="0.2">
      <c r="E40" s="148"/>
      <c r="G40" s="148"/>
      <c r="H40" s="148"/>
      <c r="I40" s="150"/>
      <c r="J40" s="167"/>
      <c r="M40" s="148"/>
      <c r="V40" s="148"/>
      <c r="Y40" s="148"/>
    </row>
    <row r="41" spans="1:235" ht="12.75" customHeight="1" x14ac:dyDescent="0.2">
      <c r="E41" s="148"/>
      <c r="G41" s="148"/>
      <c r="H41" s="148"/>
      <c r="I41" s="150"/>
      <c r="J41" s="167"/>
      <c r="M41" s="148"/>
      <c r="Y41" s="148"/>
    </row>
    <row r="42" spans="1:235" ht="12.75" customHeight="1" x14ac:dyDescent="0.2">
      <c r="E42" s="148"/>
      <c r="G42" s="148"/>
      <c r="H42" s="148"/>
      <c r="I42" s="150"/>
      <c r="J42" s="167"/>
      <c r="M42" s="148"/>
      <c r="Y42" s="148"/>
    </row>
    <row r="43" spans="1:235" ht="12.75" customHeight="1" x14ac:dyDescent="0.2">
      <c r="G43" s="148"/>
      <c r="H43" s="148"/>
      <c r="I43" s="150"/>
      <c r="J43" s="167"/>
      <c r="M43" s="148"/>
      <c r="Y43" s="148"/>
    </row>
    <row r="44" spans="1:235" ht="12.75" customHeight="1" x14ac:dyDescent="0.2">
      <c r="G44" s="148"/>
      <c r="H44" s="148"/>
      <c r="I44" s="150"/>
      <c r="J44" s="167"/>
      <c r="M44" s="148"/>
      <c r="Q44" s="110"/>
      <c r="Y44" s="148"/>
    </row>
    <row r="45" spans="1:235" ht="12.75" customHeight="1" x14ac:dyDescent="0.2">
      <c r="C45" s="375"/>
      <c r="E45" s="148"/>
      <c r="G45" s="148"/>
      <c r="H45" s="148"/>
      <c r="I45" s="150"/>
      <c r="J45" s="167"/>
      <c r="M45" s="148"/>
      <c r="Y45" s="148"/>
    </row>
    <row r="46" spans="1:235" ht="12.75" customHeight="1" x14ac:dyDescent="0.2">
      <c r="E46" s="192"/>
      <c r="G46" s="148"/>
      <c r="H46" s="148"/>
      <c r="I46" s="175"/>
      <c r="J46" s="167"/>
      <c r="M46" s="148"/>
      <c r="Y46" s="148"/>
    </row>
    <row r="47" spans="1:235" ht="12.75" customHeight="1" x14ac:dyDescent="0.2">
      <c r="C47" s="376"/>
      <c r="E47" s="192"/>
      <c r="G47" s="148"/>
      <c r="H47" s="148"/>
      <c r="I47" s="167"/>
      <c r="J47" s="167"/>
      <c r="M47" s="148"/>
      <c r="Y47" s="148"/>
    </row>
    <row r="48" spans="1:235" ht="12.75" customHeight="1" x14ac:dyDescent="0.2">
      <c r="C48" s="376"/>
      <c r="E48" s="192"/>
      <c r="G48" s="148"/>
      <c r="H48" s="148"/>
      <c r="I48" s="167"/>
      <c r="J48" s="167"/>
      <c r="M48" s="148"/>
      <c r="Y48" s="148"/>
    </row>
    <row r="49" spans="2:25" ht="12.75" customHeight="1" x14ac:dyDescent="0.2">
      <c r="E49" s="148"/>
      <c r="G49" s="148"/>
      <c r="H49" s="148"/>
      <c r="I49" s="167"/>
      <c r="J49" s="167"/>
      <c r="M49" s="148"/>
      <c r="Y49" s="148"/>
    </row>
    <row r="50" spans="2:25" ht="12.75" customHeight="1" x14ac:dyDescent="0.2">
      <c r="E50" s="148"/>
      <c r="G50" s="148"/>
      <c r="H50" s="148"/>
      <c r="I50" s="167"/>
      <c r="J50" s="167"/>
      <c r="M50" s="148"/>
      <c r="Q50" s="110"/>
      <c r="Y50" s="148"/>
    </row>
    <row r="51" spans="2:25" x14ac:dyDescent="0.2">
      <c r="E51" s="148"/>
      <c r="G51" s="148"/>
      <c r="H51" s="148"/>
      <c r="I51" s="167"/>
      <c r="J51" s="167"/>
      <c r="M51" s="148"/>
      <c r="Q51" s="110"/>
      <c r="Y51" s="148"/>
    </row>
    <row r="52" spans="2:25" x14ac:dyDescent="0.2">
      <c r="E52" s="148"/>
      <c r="G52" s="148"/>
      <c r="H52" s="148"/>
      <c r="I52" s="167"/>
      <c r="J52" s="167"/>
      <c r="M52" s="148"/>
      <c r="Y52" s="148"/>
    </row>
    <row r="53" spans="2:25" x14ac:dyDescent="0.2">
      <c r="E53" s="148"/>
      <c r="G53" s="148"/>
      <c r="H53" s="148"/>
      <c r="I53" s="167"/>
      <c r="J53" s="167"/>
      <c r="M53" s="148"/>
      <c r="Q53" s="110"/>
    </row>
    <row r="54" spans="2:25" x14ac:dyDescent="0.2">
      <c r="B54" s="375"/>
      <c r="C54" s="375"/>
      <c r="E54" s="148"/>
      <c r="G54" s="148"/>
      <c r="H54" s="148"/>
      <c r="I54" s="167"/>
      <c r="J54" s="167"/>
      <c r="M54" s="148"/>
      <c r="Y54" s="148"/>
    </row>
    <row r="55" spans="2:25" x14ac:dyDescent="0.2">
      <c r="B55" s="375"/>
      <c r="C55" s="375"/>
      <c r="E55" s="148"/>
      <c r="G55" s="148"/>
      <c r="H55" s="148"/>
      <c r="I55" s="148"/>
      <c r="J55" s="167"/>
      <c r="M55" s="148"/>
      <c r="Y55" s="148"/>
    </row>
    <row r="56" spans="2:25" x14ac:dyDescent="0.2">
      <c r="B56" s="375"/>
      <c r="C56" s="375"/>
      <c r="E56" s="148"/>
      <c r="G56" s="148"/>
      <c r="H56" s="148"/>
      <c r="I56" s="167"/>
      <c r="J56" s="167"/>
      <c r="M56" s="148"/>
      <c r="Y56" s="148"/>
    </row>
    <row r="57" spans="2:25" x14ac:dyDescent="0.2">
      <c r="B57" s="375"/>
      <c r="C57" s="375"/>
      <c r="E57" s="148"/>
      <c r="G57" s="148"/>
      <c r="H57" s="148"/>
      <c r="I57" s="167"/>
      <c r="J57" s="167"/>
      <c r="L57" s="103">
        <v>20522003</v>
      </c>
      <c r="M57" s="148"/>
      <c r="Y57" s="148"/>
    </row>
    <row r="58" spans="2:25" x14ac:dyDescent="0.2">
      <c r="B58" s="375"/>
      <c r="C58" s="375"/>
      <c r="I58" s="167"/>
      <c r="J58" s="167"/>
      <c r="Y58" s="148"/>
    </row>
    <row r="59" spans="2:25" x14ac:dyDescent="0.2">
      <c r="B59" s="375"/>
      <c r="C59" s="375"/>
      <c r="Y59" s="148"/>
    </row>
    <row r="60" spans="2:25" x14ac:dyDescent="0.2">
      <c r="B60" s="375"/>
      <c r="C60" s="375"/>
      <c r="Y60" s="148"/>
    </row>
    <row r="61" spans="2:25" x14ac:dyDescent="0.2">
      <c r="B61" s="375"/>
      <c r="C61" s="375"/>
      <c r="Y61" s="148"/>
    </row>
    <row r="62" spans="2:25" x14ac:dyDescent="0.2">
      <c r="B62" s="375"/>
      <c r="C62" s="375"/>
      <c r="Y62" s="148"/>
    </row>
    <row r="63" spans="2:25" x14ac:dyDescent="0.2">
      <c r="B63" s="375"/>
      <c r="C63" s="375"/>
      <c r="Y63" s="148"/>
    </row>
    <row r="64" spans="2:25" x14ac:dyDescent="0.2">
      <c r="B64" s="375"/>
      <c r="C64" s="375"/>
      <c r="Y64" s="148"/>
    </row>
    <row r="65" spans="2:25" x14ac:dyDescent="0.2">
      <c r="B65" s="375"/>
      <c r="C65" s="375"/>
      <c r="Y65" s="148"/>
    </row>
    <row r="66" spans="2:25" x14ac:dyDescent="0.2">
      <c r="B66" s="375"/>
      <c r="C66" s="375"/>
      <c r="Y66" s="148"/>
    </row>
    <row r="67" spans="2:25" x14ac:dyDescent="0.2">
      <c r="B67" s="375"/>
      <c r="C67" s="375"/>
      <c r="Y67" s="148"/>
    </row>
    <row r="68" spans="2:25" x14ac:dyDescent="0.2">
      <c r="B68" s="375"/>
      <c r="C68" s="375"/>
      <c r="Y68" s="148"/>
    </row>
    <row r="69" spans="2:25" x14ac:dyDescent="0.2">
      <c r="B69" s="375"/>
      <c r="C69" s="375"/>
      <c r="Y69" s="148"/>
    </row>
    <row r="70" spans="2:25" x14ac:dyDescent="0.2">
      <c r="B70" s="375"/>
      <c r="C70" s="375"/>
      <c r="Y70" s="148"/>
    </row>
    <row r="71" spans="2:25" x14ac:dyDescent="0.2">
      <c r="B71" s="375"/>
      <c r="C71" s="375"/>
      <c r="Y71" s="148"/>
    </row>
    <row r="72" spans="2:25" x14ac:dyDescent="0.2">
      <c r="B72" s="375"/>
      <c r="C72" s="375"/>
      <c r="Y72" s="148"/>
    </row>
    <row r="73" spans="2:25" x14ac:dyDescent="0.2">
      <c r="B73" s="375"/>
      <c r="C73" s="375"/>
      <c r="Y73" s="148"/>
    </row>
    <row r="74" spans="2:25" x14ac:dyDescent="0.2">
      <c r="B74" s="375"/>
      <c r="C74" s="375"/>
      <c r="Y74" s="148"/>
    </row>
    <row r="75" spans="2:25" x14ac:dyDescent="0.2">
      <c r="Y75" s="148"/>
    </row>
    <row r="76" spans="2:25" x14ac:dyDescent="0.2">
      <c r="Y76" s="148"/>
    </row>
    <row r="77" spans="2:25" x14ac:dyDescent="0.2">
      <c r="Y77" s="148"/>
    </row>
    <row r="78" spans="2:25" x14ac:dyDescent="0.2">
      <c r="Y78" s="148"/>
    </row>
    <row r="79" spans="2:25" x14ac:dyDescent="0.2">
      <c r="Y79" s="148"/>
    </row>
    <row r="80" spans="2:25" x14ac:dyDescent="0.2">
      <c r="Y80" s="148"/>
    </row>
    <row r="81" spans="25:26" x14ac:dyDescent="0.2">
      <c r="Y81" s="148"/>
    </row>
    <row r="82" spans="25:26" x14ac:dyDescent="0.2">
      <c r="Y82" s="148"/>
    </row>
    <row r="83" spans="25:26" x14ac:dyDescent="0.2">
      <c r="Y83" s="148"/>
      <c r="Z83" s="148"/>
    </row>
    <row r="84" spans="25:26" x14ac:dyDescent="0.2">
      <c r="Y84" s="148"/>
    </row>
    <row r="85" spans="25:26" x14ac:dyDescent="0.2">
      <c r="Y85" s="148"/>
    </row>
    <row r="86" spans="25:26" x14ac:dyDescent="0.2">
      <c r="Y86" s="148"/>
    </row>
    <row r="87" spans="25:26" x14ac:dyDescent="0.2">
      <c r="Y87" s="148"/>
    </row>
    <row r="88" spans="25:26" x14ac:dyDescent="0.2">
      <c r="Y88" s="148"/>
    </row>
    <row r="89" spans="25:26" x14ac:dyDescent="0.2">
      <c r="Y89" s="148"/>
    </row>
    <row r="90" spans="25:26" x14ac:dyDescent="0.2">
      <c r="Y90" s="148"/>
    </row>
    <row r="91" spans="25:26" x14ac:dyDescent="0.2">
      <c r="Y91" s="148"/>
    </row>
    <row r="92" spans="25:26" x14ac:dyDescent="0.2">
      <c r="Y92" s="148"/>
    </row>
    <row r="93" spans="25:26" x14ac:dyDescent="0.2">
      <c r="Y93" s="148"/>
    </row>
    <row r="94" spans="25:26" x14ac:dyDescent="0.2">
      <c r="Y94" s="148"/>
    </row>
    <row r="95" spans="25:26" x14ac:dyDescent="0.2">
      <c r="Y95" s="148"/>
    </row>
    <row r="96" spans="25:26" x14ac:dyDescent="0.2">
      <c r="Y96" s="148"/>
    </row>
    <row r="97" spans="25:25" x14ac:dyDescent="0.2">
      <c r="Y97" s="148"/>
    </row>
    <row r="98" spans="25:25" x14ac:dyDescent="0.2">
      <c r="Y98" s="148"/>
    </row>
    <row r="100" spans="25:25" x14ac:dyDescent="0.2">
      <c r="Y100" s="148"/>
    </row>
    <row r="101" spans="25:25" x14ac:dyDescent="0.2">
      <c r="Y101" s="148"/>
    </row>
    <row r="102" spans="25:25" x14ac:dyDescent="0.2">
      <c r="Y102" s="148"/>
    </row>
    <row r="103" spans="25:25" x14ac:dyDescent="0.2">
      <c r="Y103" s="148"/>
    </row>
    <row r="104" spans="25:25" x14ac:dyDescent="0.2">
      <c r="Y104" s="148"/>
    </row>
    <row r="106" spans="25:25" x14ac:dyDescent="0.2">
      <c r="Y106" s="148"/>
    </row>
    <row r="107" spans="25:25" x14ac:dyDescent="0.2">
      <c r="Y107" s="148"/>
    </row>
    <row r="108" spans="25:25" x14ac:dyDescent="0.2">
      <c r="Y108" s="148"/>
    </row>
    <row r="109" spans="25:25" x14ac:dyDescent="0.2">
      <c r="Y109" s="148"/>
    </row>
    <row r="110" spans="25:25" x14ac:dyDescent="0.2">
      <c r="Y110" s="148"/>
    </row>
    <row r="111" spans="25:25" x14ac:dyDescent="0.2">
      <c r="Y111" s="148"/>
    </row>
    <row r="112" spans="25:25" x14ac:dyDescent="0.2">
      <c r="Y112" s="148"/>
    </row>
    <row r="113" spans="25:25" x14ac:dyDescent="0.2">
      <c r="Y113" s="148"/>
    </row>
    <row r="114" spans="25:25" x14ac:dyDescent="0.2">
      <c r="Y114" s="148"/>
    </row>
    <row r="115" spans="25:25" x14ac:dyDescent="0.2">
      <c r="Y115" s="148"/>
    </row>
    <row r="116" spans="25:25" x14ac:dyDescent="0.2">
      <c r="Y116" s="148"/>
    </row>
    <row r="117" spans="25:25" x14ac:dyDescent="0.2">
      <c r="Y117" s="148"/>
    </row>
    <row r="118" spans="25:25" x14ac:dyDescent="0.2">
      <c r="Y118" s="148"/>
    </row>
    <row r="119" spans="25:25" x14ac:dyDescent="0.2">
      <c r="Y119" s="148"/>
    </row>
    <row r="120" spans="25:25" x14ac:dyDescent="0.2">
      <c r="Y120" s="148"/>
    </row>
    <row r="121" spans="25:25" x14ac:dyDescent="0.2">
      <c r="Y121" s="148"/>
    </row>
    <row r="122" spans="25:25" x14ac:dyDescent="0.2">
      <c r="Y122" s="148"/>
    </row>
    <row r="123" spans="25:25" x14ac:dyDescent="0.2">
      <c r="Y123" s="148"/>
    </row>
    <row r="124" spans="25:25" x14ac:dyDescent="0.2">
      <c r="Y124" s="148"/>
    </row>
    <row r="125" spans="25:25" x14ac:dyDescent="0.2">
      <c r="Y125" s="148"/>
    </row>
    <row r="126" spans="25:25" x14ac:dyDescent="0.2">
      <c r="Y126" s="148"/>
    </row>
    <row r="127" spans="25:25" x14ac:dyDescent="0.2">
      <c r="Y127" s="148"/>
    </row>
    <row r="128" spans="25:25" x14ac:dyDescent="0.2">
      <c r="Y128" s="148"/>
    </row>
    <row r="129" spans="25:25" x14ac:dyDescent="0.2">
      <c r="Y129" s="148"/>
    </row>
    <row r="130" spans="25:25" x14ac:dyDescent="0.2">
      <c r="Y130" s="148"/>
    </row>
    <row r="131" spans="25:25" x14ac:dyDescent="0.2">
      <c r="Y131" s="148"/>
    </row>
    <row r="132" spans="25:25" x14ac:dyDescent="0.2">
      <c r="Y132" s="148"/>
    </row>
    <row r="133" spans="25:25" x14ac:dyDescent="0.2">
      <c r="Y133" s="148"/>
    </row>
    <row r="134" spans="25:25" x14ac:dyDescent="0.2">
      <c r="Y134" s="148"/>
    </row>
    <row r="135" spans="25:25" x14ac:dyDescent="0.2">
      <c r="Y135" s="148"/>
    </row>
    <row r="137" spans="25:25" x14ac:dyDescent="0.2">
      <c r="Y137" s="148"/>
    </row>
    <row r="138" spans="25:25" x14ac:dyDescent="0.2">
      <c r="Y138" s="148"/>
    </row>
    <row r="139" spans="25:25" x14ac:dyDescent="0.2">
      <c r="Y139" s="148"/>
    </row>
    <row r="140" spans="25:25" x14ac:dyDescent="0.2">
      <c r="Y140" s="148"/>
    </row>
    <row r="141" spans="25:25" x14ac:dyDescent="0.2">
      <c r="Y141" s="148"/>
    </row>
    <row r="142" spans="25:25" x14ac:dyDescent="0.2">
      <c r="Y142" s="148"/>
    </row>
    <row r="143" spans="25:25" x14ac:dyDescent="0.2">
      <c r="Y143" s="148"/>
    </row>
    <row r="144" spans="25:25" x14ac:dyDescent="0.2">
      <c r="Y144" s="148"/>
    </row>
    <row r="145" spans="25:25" x14ac:dyDescent="0.2">
      <c r="Y145" s="148"/>
    </row>
    <row r="146" spans="25:25" x14ac:dyDescent="0.2">
      <c r="Y146" s="148"/>
    </row>
    <row r="147" spans="25:25" x14ac:dyDescent="0.2">
      <c r="Y147" s="148"/>
    </row>
    <row r="148" spans="25:25" x14ac:dyDescent="0.2">
      <c r="Y148" s="148"/>
    </row>
    <row r="149" spans="25:25" x14ac:dyDescent="0.2">
      <c r="Y149" s="148"/>
    </row>
    <row r="150" spans="25:25" x14ac:dyDescent="0.2">
      <c r="Y150" s="148"/>
    </row>
    <row r="151" spans="25:25" x14ac:dyDescent="0.2">
      <c r="Y151" s="148"/>
    </row>
    <row r="152" spans="25:25" x14ac:dyDescent="0.2">
      <c r="Y152" s="148"/>
    </row>
    <row r="153" spans="25:25" x14ac:dyDescent="0.2">
      <c r="Y153" s="148"/>
    </row>
    <row r="154" spans="25:25" x14ac:dyDescent="0.2">
      <c r="Y154" s="148"/>
    </row>
    <row r="155" spans="25:25" x14ac:dyDescent="0.2">
      <c r="Y155" s="148"/>
    </row>
    <row r="157" spans="25:25" x14ac:dyDescent="0.2">
      <c r="Y157" s="148"/>
    </row>
    <row r="158" spans="25:25" x14ac:dyDescent="0.2">
      <c r="Y158" s="148"/>
    </row>
    <row r="159" spans="25:25" x14ac:dyDescent="0.2">
      <c r="Y159" s="148"/>
    </row>
    <row r="160" spans="25:25" x14ac:dyDescent="0.2">
      <c r="Y160" s="148"/>
    </row>
    <row r="161" spans="25:25" x14ac:dyDescent="0.2">
      <c r="Y161" s="148"/>
    </row>
    <row r="162" spans="25:25" x14ac:dyDescent="0.2">
      <c r="Y162" s="148"/>
    </row>
    <row r="163" spans="25:25" x14ac:dyDescent="0.2">
      <c r="Y163" s="148"/>
    </row>
    <row r="165" spans="25:25" x14ac:dyDescent="0.2">
      <c r="Y165" s="148"/>
    </row>
    <row r="166" spans="25:25" x14ac:dyDescent="0.2">
      <c r="Y166" s="148"/>
    </row>
    <row r="167" spans="25:25" x14ac:dyDescent="0.2">
      <c r="Y167" s="148"/>
    </row>
    <row r="168" spans="25:25" x14ac:dyDescent="0.2">
      <c r="Y168" s="148"/>
    </row>
    <row r="169" spans="25:25" x14ac:dyDescent="0.2">
      <c r="Y169" s="148"/>
    </row>
    <row r="170" spans="25:25" x14ac:dyDescent="0.2">
      <c r="Y170" s="148"/>
    </row>
    <row r="171" spans="25:25" x14ac:dyDescent="0.2">
      <c r="Y171" s="148"/>
    </row>
    <row r="172" spans="25:25" x14ac:dyDescent="0.2">
      <c r="Y172" s="148"/>
    </row>
    <row r="173" spans="25:25" x14ac:dyDescent="0.2">
      <c r="Y173" s="148"/>
    </row>
    <row r="174" spans="25:25" x14ac:dyDescent="0.2">
      <c r="Y174" s="148"/>
    </row>
    <row r="175" spans="25:25" x14ac:dyDescent="0.2">
      <c r="Y175" s="148"/>
    </row>
    <row r="176" spans="25:25" x14ac:dyDescent="0.2">
      <c r="Y176" s="148"/>
    </row>
    <row r="177" spans="25:25" x14ac:dyDescent="0.2">
      <c r="Y177" s="148"/>
    </row>
    <row r="178" spans="25:25" x14ac:dyDescent="0.2">
      <c r="Y178" s="148"/>
    </row>
    <row r="179" spans="25:25" x14ac:dyDescent="0.2">
      <c r="Y179" s="148"/>
    </row>
    <row r="180" spans="25:25" x14ac:dyDescent="0.2">
      <c r="Y180" s="148"/>
    </row>
    <row r="181" spans="25:25" x14ac:dyDescent="0.2">
      <c r="Y181" s="148"/>
    </row>
    <row r="182" spans="25:25" x14ac:dyDescent="0.2">
      <c r="Y182" s="148"/>
    </row>
    <row r="183" spans="25:25" x14ac:dyDescent="0.2">
      <c r="Y183" s="148"/>
    </row>
    <row r="184" spans="25:25" x14ac:dyDescent="0.2">
      <c r="Y184" s="148"/>
    </row>
    <row r="185" spans="25:25" x14ac:dyDescent="0.2">
      <c r="Y185" s="148"/>
    </row>
    <row r="186" spans="25:25" x14ac:dyDescent="0.2">
      <c r="Y186" s="148"/>
    </row>
    <row r="188" spans="25:25" x14ac:dyDescent="0.2">
      <c r="Y188" s="148"/>
    </row>
    <row r="189" spans="25:25" x14ac:dyDescent="0.2">
      <c r="Y189" s="148"/>
    </row>
    <row r="190" spans="25:25" x14ac:dyDescent="0.2">
      <c r="Y190" s="148"/>
    </row>
    <row r="192" spans="25:25" x14ac:dyDescent="0.2">
      <c r="Y192" s="148"/>
    </row>
    <row r="193" spans="25:25" x14ac:dyDescent="0.2">
      <c r="Y193" s="148"/>
    </row>
    <row r="194" spans="25:25" x14ac:dyDescent="0.2">
      <c r="Y194" s="148"/>
    </row>
    <row r="195" spans="25:25" x14ac:dyDescent="0.2">
      <c r="Y195" s="148"/>
    </row>
    <row r="196" spans="25:25" x14ac:dyDescent="0.2">
      <c r="Y196" s="148"/>
    </row>
    <row r="197" spans="25:25" x14ac:dyDescent="0.2">
      <c r="Y197" s="148"/>
    </row>
    <row r="199" spans="25:25" x14ac:dyDescent="0.2">
      <c r="Y199" s="148"/>
    </row>
    <row r="200" spans="25:25" x14ac:dyDescent="0.2">
      <c r="Y200" s="148"/>
    </row>
    <row r="201" spans="25:25" x14ac:dyDescent="0.2">
      <c r="Y201" s="148"/>
    </row>
    <row r="202" spans="25:25" x14ac:dyDescent="0.2">
      <c r="Y202" s="148"/>
    </row>
    <row r="203" spans="25:25" x14ac:dyDescent="0.2">
      <c r="Y203" s="148"/>
    </row>
    <row r="204" spans="25:25" x14ac:dyDescent="0.2">
      <c r="Y204" s="148"/>
    </row>
    <row r="205" spans="25:25" x14ac:dyDescent="0.2">
      <c r="Y205" s="148"/>
    </row>
    <row r="206" spans="25:25" x14ac:dyDescent="0.2">
      <c r="Y206" s="148"/>
    </row>
    <row r="207" spans="25:25" x14ac:dyDescent="0.2">
      <c r="Y207" s="148"/>
    </row>
    <row r="208" spans="25:25" x14ac:dyDescent="0.2">
      <c r="Y208" s="148"/>
    </row>
    <row r="209" spans="25:25" x14ac:dyDescent="0.2">
      <c r="Y209" s="148"/>
    </row>
    <row r="210" spans="25:25" x14ac:dyDescent="0.2">
      <c r="Y210" s="148"/>
    </row>
    <row r="211" spans="25:25" x14ac:dyDescent="0.2">
      <c r="Y211" s="148"/>
    </row>
    <row r="212" spans="25:25" x14ac:dyDescent="0.2">
      <c r="Y212" s="148"/>
    </row>
    <row r="213" spans="25:25" x14ac:dyDescent="0.2">
      <c r="Y213" s="148"/>
    </row>
    <row r="214" spans="25:25" x14ac:dyDescent="0.2">
      <c r="Y214" s="148"/>
    </row>
    <row r="215" spans="25:25" x14ac:dyDescent="0.2">
      <c r="Y215" s="148"/>
    </row>
    <row r="216" spans="25:25" x14ac:dyDescent="0.2">
      <c r="Y216" s="148"/>
    </row>
    <row r="217" spans="25:25" x14ac:dyDescent="0.2">
      <c r="Y217" s="148"/>
    </row>
    <row r="218" spans="25:25" x14ac:dyDescent="0.2">
      <c r="Y218" s="148"/>
    </row>
    <row r="219" spans="25:25" x14ac:dyDescent="0.2">
      <c r="Y219" s="148"/>
    </row>
    <row r="220" spans="25:25" x14ac:dyDescent="0.2">
      <c r="Y220" s="148"/>
    </row>
    <row r="221" spans="25:25" x14ac:dyDescent="0.2">
      <c r="Y221" s="148"/>
    </row>
    <row r="222" spans="25:25" x14ac:dyDescent="0.2">
      <c r="Y222" s="148"/>
    </row>
    <row r="223" spans="25:25" x14ac:dyDescent="0.2">
      <c r="Y223" s="192"/>
    </row>
  </sheetData>
  <phoneticPr fontId="0" type="noConversion"/>
  <printOptions horizontalCentered="1" verticalCentered="1"/>
  <pageMargins left="0.75" right="0.75" top="1" bottom="1" header="0.5" footer="0.5"/>
  <pageSetup scale="75" firstPageNumber="4" orientation="landscape" useFirstPageNumber="1" r:id="rId1"/>
  <headerFooter alignWithMargins="0">
    <oddHeader>&amp;CSUPPLEMENTAL CITY-COUNTY RELIEF TAX</oddHeader>
    <oddFooter>&amp;LADMINISTRATIVE SERVICES DIVISION, 3/15/15
&amp;RD-&amp;P</oddFooter>
  </headerFooter>
  <colBreaks count="2" manualBreakCount="2">
    <brk id="6" max="1048575" man="1"/>
    <brk id="15"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zoomScaleNormal="100" workbookViewId="0">
      <selection activeCell="F27" sqref="F27"/>
    </sheetView>
  </sheetViews>
  <sheetFormatPr defaultRowHeight="12.75" x14ac:dyDescent="0.2"/>
  <cols>
    <col min="1" max="1" width="15.42578125" style="161" customWidth="1"/>
    <col min="2" max="2" width="17.7109375" style="161" customWidth="1"/>
    <col min="3" max="3" width="17.7109375" style="194" customWidth="1"/>
    <col min="4" max="7" width="17.7109375" style="161" customWidth="1"/>
    <col min="8" max="8" width="13.7109375" style="161" customWidth="1"/>
    <col min="9" max="9" width="14.28515625" style="161" customWidth="1"/>
    <col min="10" max="10" width="13.5703125" style="196" customWidth="1"/>
    <col min="11" max="12" width="12.7109375" style="161" bestFit="1" customWidth="1"/>
    <col min="13" max="16384" width="9.140625" style="161"/>
  </cols>
  <sheetData>
    <row r="1" spans="1:10" x14ac:dyDescent="0.2">
      <c r="A1" s="238"/>
      <c r="B1" s="193"/>
      <c r="D1" s="195"/>
      <c r="I1" s="196"/>
      <c r="J1" s="161"/>
    </row>
    <row r="2" spans="1:10" x14ac:dyDescent="0.2">
      <c r="I2" s="196"/>
      <c r="J2" s="161"/>
    </row>
    <row r="3" spans="1:10" x14ac:dyDescent="0.2">
      <c r="E3" s="290" t="s">
        <v>545</v>
      </c>
      <c r="F3" s="290" t="s">
        <v>545</v>
      </c>
      <c r="J3" s="161"/>
    </row>
    <row r="4" spans="1:10" x14ac:dyDescent="0.2">
      <c r="C4" s="289" t="s">
        <v>544</v>
      </c>
      <c r="D4" s="197" t="s">
        <v>35</v>
      </c>
      <c r="E4" s="198" t="s">
        <v>406</v>
      </c>
      <c r="F4" s="198" t="s">
        <v>406</v>
      </c>
      <c r="J4" s="161"/>
    </row>
    <row r="5" spans="1:10" x14ac:dyDescent="0.2">
      <c r="C5" s="197" t="s">
        <v>361</v>
      </c>
      <c r="D5" s="197" t="s">
        <v>362</v>
      </c>
      <c r="E5" s="198" t="s">
        <v>2</v>
      </c>
      <c r="F5" s="197" t="s">
        <v>3</v>
      </c>
      <c r="J5" s="161"/>
    </row>
    <row r="6" spans="1:10" x14ac:dyDescent="0.2">
      <c r="B6" s="199"/>
      <c r="C6" s="197" t="s">
        <v>99</v>
      </c>
      <c r="D6" s="197" t="s">
        <v>453</v>
      </c>
      <c r="E6" s="198" t="s">
        <v>454</v>
      </c>
      <c r="F6" s="198" t="s">
        <v>454</v>
      </c>
      <c r="J6" s="161"/>
    </row>
    <row r="7" spans="1:10" x14ac:dyDescent="0.2">
      <c r="B7" s="200" t="s">
        <v>362</v>
      </c>
      <c r="C7" s="200" t="s">
        <v>455</v>
      </c>
      <c r="D7" s="200" t="s">
        <v>456</v>
      </c>
      <c r="E7" s="201" t="s">
        <v>455</v>
      </c>
      <c r="F7" s="201" t="s">
        <v>455</v>
      </c>
      <c r="J7" s="161"/>
    </row>
    <row r="8" spans="1:10" x14ac:dyDescent="0.2">
      <c r="C8" s="161"/>
      <c r="E8" s="194"/>
      <c r="J8" s="161"/>
    </row>
    <row r="9" spans="1:10" x14ac:dyDescent="0.2">
      <c r="B9" s="161" t="s">
        <v>6</v>
      </c>
      <c r="C9" s="202">
        <v>53968.826786594262</v>
      </c>
      <c r="D9" s="203">
        <v>1.8981046450771678E-2</v>
      </c>
      <c r="E9" s="194">
        <v>197085.47823329529</v>
      </c>
      <c r="F9" s="194">
        <v>70948.29648452565</v>
      </c>
      <c r="J9" s="161"/>
    </row>
    <row r="10" spans="1:10" x14ac:dyDescent="0.2">
      <c r="B10" s="161" t="s">
        <v>7</v>
      </c>
      <c r="C10" s="202">
        <v>25103.329195774852</v>
      </c>
      <c r="D10" s="203">
        <v>8.8289385911270862E-3</v>
      </c>
      <c r="E10" s="194">
        <v>91673.322070919647</v>
      </c>
      <c r="F10" s="194">
        <v>33001.244395642287</v>
      </c>
      <c r="J10" s="161"/>
    </row>
    <row r="11" spans="1:10" x14ac:dyDescent="0.2">
      <c r="B11" s="161" t="s">
        <v>8</v>
      </c>
      <c r="C11" s="202">
        <v>2069450.2788</v>
      </c>
      <c r="D11" s="203">
        <v>0.72783371824607357</v>
      </c>
      <c r="E11" s="194">
        <v>7557299.6887646895</v>
      </c>
      <c r="F11" s="194">
        <v>2720532.9573100414</v>
      </c>
      <c r="J11" s="161"/>
    </row>
    <row r="12" spans="1:10" x14ac:dyDescent="0.2">
      <c r="B12" s="161" t="s">
        <v>9</v>
      </c>
      <c r="C12" s="202">
        <v>48553.081650317137</v>
      </c>
      <c r="D12" s="203">
        <v>1.7076307805929551E-2</v>
      </c>
      <c r="E12" s="194">
        <v>177308.04774748097</v>
      </c>
      <c r="F12" s="194">
        <v>63828.66994284471</v>
      </c>
      <c r="J12" s="161"/>
    </row>
    <row r="13" spans="1:10" x14ac:dyDescent="0.2">
      <c r="B13" s="161" t="s">
        <v>10</v>
      </c>
      <c r="C13" s="202">
        <v>53357.585131492</v>
      </c>
      <c r="D13" s="203">
        <v>1.8766070381456335E-2</v>
      </c>
      <c r="E13" s="194">
        <v>194853.32198523942</v>
      </c>
      <c r="F13" s="194">
        <v>70144.748274345548</v>
      </c>
    </row>
    <row r="14" spans="1:10" x14ac:dyDescent="0.2">
      <c r="B14" s="161" t="s">
        <v>11</v>
      </c>
      <c r="C14" s="202">
        <v>926.10015998366612</v>
      </c>
      <c r="D14" s="203">
        <v>3.2571303104709089E-4</v>
      </c>
      <c r="E14" s="194">
        <v>3381.9688844458983</v>
      </c>
      <c r="F14" s="194">
        <v>1217.4663159661052</v>
      </c>
      <c r="J14" s="161"/>
    </row>
    <row r="15" spans="1:10" x14ac:dyDescent="0.2">
      <c r="B15" s="161" t="s">
        <v>12</v>
      </c>
      <c r="C15" s="202">
        <v>1903.236395573615</v>
      </c>
      <c r="D15" s="203">
        <v>6.6937564853930672E-4</v>
      </c>
      <c r="E15" s="194">
        <v>6950.3133113468593</v>
      </c>
      <c r="F15" s="194">
        <v>2502.0254860688997</v>
      </c>
      <c r="J15" s="161"/>
    </row>
    <row r="16" spans="1:10" x14ac:dyDescent="0.2">
      <c r="B16" s="161" t="s">
        <v>13</v>
      </c>
      <c r="C16" s="202">
        <v>17387.982164587142</v>
      </c>
      <c r="D16" s="203">
        <v>6.1154210088035432E-3</v>
      </c>
      <c r="E16" s="194">
        <v>63498.115198437197</v>
      </c>
      <c r="F16" s="194">
        <v>22858.523843012423</v>
      </c>
      <c r="J16" s="161"/>
    </row>
    <row r="17" spans="1:10" x14ac:dyDescent="0.2">
      <c r="B17" s="161" t="s">
        <v>14</v>
      </c>
      <c r="C17" s="202">
        <v>6560.108465540523</v>
      </c>
      <c r="D17" s="203">
        <v>2.307215682099191E-3</v>
      </c>
      <c r="E17" s="194">
        <v>23956.461371780217</v>
      </c>
      <c r="F17" s="194">
        <v>8624.0251659394416</v>
      </c>
      <c r="J17" s="161"/>
    </row>
    <row r="18" spans="1:10" x14ac:dyDescent="0.2">
      <c r="B18" s="161" t="s">
        <v>15</v>
      </c>
      <c r="C18" s="202">
        <v>5003.9397369411636</v>
      </c>
      <c r="D18" s="203">
        <v>1.759905082971625E-3</v>
      </c>
      <c r="E18" s="194">
        <v>18273.583378147658</v>
      </c>
      <c r="F18" s="194">
        <v>6578.2604734218048</v>
      </c>
      <c r="J18" s="161"/>
    </row>
    <row r="19" spans="1:10" x14ac:dyDescent="0.2">
      <c r="B19" s="161" t="s">
        <v>16</v>
      </c>
      <c r="C19" s="202">
        <v>53343.940391185446</v>
      </c>
      <c r="D19" s="203">
        <v>1.8761271473179311E-2</v>
      </c>
      <c r="E19" s="194">
        <v>194803.49358746232</v>
      </c>
      <c r="F19" s="194">
        <v>70126.810677062735</v>
      </c>
      <c r="J19" s="161"/>
    </row>
    <row r="20" spans="1:10" x14ac:dyDescent="0.2">
      <c r="B20" s="161" t="s">
        <v>17</v>
      </c>
      <c r="C20" s="202">
        <v>4584.1322201190815</v>
      </c>
      <c r="D20" s="203">
        <v>1.612257145233568E-3</v>
      </c>
      <c r="E20" s="194">
        <v>16740.513824014528</v>
      </c>
      <c r="F20" s="194">
        <v>6026.3746915110514</v>
      </c>
    </row>
    <row r="21" spans="1:10" x14ac:dyDescent="0.2">
      <c r="B21" s="161" t="s">
        <v>18</v>
      </c>
      <c r="C21" s="202">
        <v>45455.522591000881</v>
      </c>
      <c r="D21" s="203">
        <v>1.5986884227733575E-2</v>
      </c>
      <c r="E21" s="194">
        <v>165996.26009318899</v>
      </c>
      <c r="F21" s="194">
        <v>59756.568479759226</v>
      </c>
    </row>
    <row r="22" spans="1:10" x14ac:dyDescent="0.2">
      <c r="B22" s="161" t="s">
        <v>19</v>
      </c>
      <c r="C22" s="202">
        <v>6714.2439856510646</v>
      </c>
      <c r="D22" s="203">
        <v>2.3614257444839228E-3</v>
      </c>
      <c r="E22" s="194">
        <v>24519.339509076868</v>
      </c>
      <c r="F22" s="194">
        <v>8826.6542248004316</v>
      </c>
    </row>
    <row r="23" spans="1:10" x14ac:dyDescent="0.2">
      <c r="B23" s="161" t="s">
        <v>20</v>
      </c>
      <c r="C23" s="202">
        <v>3974.1505161658238</v>
      </c>
      <c r="D23" s="203">
        <v>1.3977242056416031E-3</v>
      </c>
      <c r="E23" s="194">
        <v>14512.958714977951</v>
      </c>
      <c r="F23" s="194">
        <v>5224.4828335809134</v>
      </c>
    </row>
    <row r="24" spans="1:10" x14ac:dyDescent="0.2">
      <c r="B24" s="161" t="s">
        <v>21</v>
      </c>
      <c r="C24" s="202">
        <v>436796.64977200003</v>
      </c>
      <c r="D24" s="203">
        <v>0.15362308192556839</v>
      </c>
      <c r="E24" s="194">
        <v>1595111.1361271886</v>
      </c>
      <c r="F24" s="194">
        <v>574219.97209635866</v>
      </c>
    </row>
    <row r="25" spans="1:10" ht="15" x14ac:dyDescent="0.35">
      <c r="B25" s="161" t="s">
        <v>22</v>
      </c>
      <c r="C25" s="275">
        <v>10217.809431969765</v>
      </c>
      <c r="D25" s="204">
        <v>3.5936433493404477E-3</v>
      </c>
      <c r="E25" s="205">
        <v>37313.797210367658</v>
      </c>
      <c r="F25" s="205">
        <v>13432.498280319223</v>
      </c>
    </row>
    <row r="26" spans="1:10" x14ac:dyDescent="0.2">
      <c r="C26" s="161"/>
      <c r="D26" s="206"/>
      <c r="E26" s="194"/>
    </row>
    <row r="27" spans="1:10" ht="13.5" thickBot="1" x14ac:dyDescent="0.25">
      <c r="B27" s="161" t="s">
        <v>457</v>
      </c>
      <c r="C27" s="207">
        <v>2843300.917394897</v>
      </c>
      <c r="D27" s="208">
        <v>0.99999999999999978</v>
      </c>
      <c r="E27" s="209">
        <v>10383277.800012061</v>
      </c>
      <c r="F27" s="209">
        <v>3737849.5789751997</v>
      </c>
    </row>
    <row r="28" spans="1:10" ht="26.25" customHeight="1" thickTop="1" x14ac:dyDescent="0.2">
      <c r="B28" s="206"/>
      <c r="D28" s="194"/>
      <c r="I28" s="196"/>
      <c r="J28" s="161"/>
    </row>
    <row r="29" spans="1:10" x14ac:dyDescent="0.2">
      <c r="A29" s="210"/>
      <c r="B29" s="211"/>
      <c r="C29" s="212"/>
      <c r="D29" s="212"/>
      <c r="E29" s="212"/>
      <c r="F29" s="213"/>
      <c r="I29" s="196"/>
      <c r="J29" s="161"/>
    </row>
    <row r="30" spans="1:10" x14ac:dyDescent="0.2">
      <c r="A30" s="214"/>
      <c r="B30" s="215" t="s">
        <v>458</v>
      </c>
      <c r="C30" s="216"/>
      <c r="D30" s="216"/>
      <c r="E30" s="216"/>
      <c r="F30" s="217"/>
      <c r="I30" s="196"/>
      <c r="J30" s="161"/>
    </row>
    <row r="31" spans="1:10" x14ac:dyDescent="0.2">
      <c r="A31" s="214"/>
      <c r="B31" s="216"/>
      <c r="C31" s="218"/>
      <c r="D31" s="218"/>
      <c r="E31" s="219" t="s">
        <v>459</v>
      </c>
      <c r="F31" s="219" t="s">
        <v>459</v>
      </c>
    </row>
    <row r="32" spans="1:10" x14ac:dyDescent="0.2">
      <c r="A32" s="214"/>
      <c r="B32" s="364">
        <v>2012</v>
      </c>
      <c r="C32" s="364">
        <v>2013</v>
      </c>
      <c r="D32" s="364">
        <v>2014</v>
      </c>
      <c r="E32" s="220">
        <v>2015</v>
      </c>
      <c r="F32" s="220">
        <v>2016</v>
      </c>
      <c r="J32" s="161"/>
    </row>
    <row r="33" spans="1:10" x14ac:dyDescent="0.2">
      <c r="A33" s="214"/>
      <c r="B33" s="365"/>
      <c r="C33" s="365"/>
      <c r="D33" s="365"/>
      <c r="E33" s="268"/>
      <c r="F33" s="217"/>
      <c r="J33" s="161"/>
    </row>
    <row r="34" spans="1:10" x14ac:dyDescent="0.2">
      <c r="A34" s="221" t="s">
        <v>2</v>
      </c>
      <c r="B34" s="366">
        <v>11395189.93</v>
      </c>
      <c r="C34" s="366">
        <v>11400105</v>
      </c>
      <c r="D34" s="366">
        <v>10866784.510000002</v>
      </c>
      <c r="E34" s="222">
        <v>10627715.250780001</v>
      </c>
      <c r="F34" s="222">
        <v>10383277.800012061</v>
      </c>
      <c r="J34" s="161"/>
    </row>
    <row r="35" spans="1:10" x14ac:dyDescent="0.2">
      <c r="A35" s="214" t="s">
        <v>460</v>
      </c>
      <c r="B35" s="367">
        <v>-3.7440959485700413E-2</v>
      </c>
      <c r="C35" s="367">
        <v>4.3132848422828337E-4</v>
      </c>
      <c r="D35" s="367">
        <v>-4.6782068235336288E-2</v>
      </c>
      <c r="E35" s="269">
        <v>-2.200000000000003E-2</v>
      </c>
      <c r="F35" s="269">
        <v>-2.3E-2</v>
      </c>
      <c r="J35" s="161"/>
    </row>
    <row r="36" spans="1:10" x14ac:dyDescent="0.2">
      <c r="A36" s="221" t="s">
        <v>3</v>
      </c>
      <c r="B36" s="366">
        <v>3484728.66</v>
      </c>
      <c r="C36" s="366">
        <v>3394316</v>
      </c>
      <c r="D36" s="366">
        <v>3596230.040000001</v>
      </c>
      <c r="E36" s="222">
        <v>3664558.4107600008</v>
      </c>
      <c r="F36" s="222">
        <v>3737849.5789752011</v>
      </c>
      <c r="G36" s="243"/>
      <c r="J36" s="161"/>
    </row>
    <row r="37" spans="1:10" x14ac:dyDescent="0.2">
      <c r="A37" s="214" t="s">
        <v>460</v>
      </c>
      <c r="B37" s="367">
        <v>5.0129241498282004E-2</v>
      </c>
      <c r="C37" s="367">
        <v>-2.5945394554765747E-2</v>
      </c>
      <c r="D37" s="367">
        <v>5.9485928829254839E-2</v>
      </c>
      <c r="E37" s="269">
        <v>1.8999999999999951E-2</v>
      </c>
      <c r="F37" s="269">
        <v>0.02</v>
      </c>
      <c r="J37" s="161"/>
    </row>
    <row r="38" spans="1:10" x14ac:dyDescent="0.2">
      <c r="A38" s="223"/>
      <c r="B38" s="224"/>
      <c r="C38" s="225"/>
      <c r="D38" s="225"/>
      <c r="E38" s="225"/>
      <c r="F38" s="226"/>
    </row>
    <row r="39" spans="1:10" x14ac:dyDescent="0.2">
      <c r="A39" s="227"/>
    </row>
    <row r="41" spans="1:10" x14ac:dyDescent="0.2">
      <c r="E41" s="234"/>
      <c r="F41" s="234"/>
    </row>
    <row r="42" spans="1:10" x14ac:dyDescent="0.2">
      <c r="C42" s="161"/>
      <c r="D42" s="196"/>
      <c r="E42" s="234"/>
      <c r="F42" s="234"/>
    </row>
  </sheetData>
  <phoneticPr fontId="0" type="noConversion"/>
  <printOptions horizontalCentered="1" verticalCentered="1"/>
  <pageMargins left="0.75" right="0.75" top="1" bottom="1" header="0.5" footer="0.5"/>
  <pageSetup scale="89" firstPageNumber="7" orientation="landscape" useFirstPageNumber="1" r:id="rId1"/>
  <headerFooter alignWithMargins="0">
    <oddHeader>&amp;CREVENUE ALLOCATION TO COUNTIES BASED ON POPULATION
CIGARETTE AND LIQUOR</oddHeader>
    <oddFooter>&amp;LADMINISTRATIVE SERVICES DIVISION, 3/15/15
&amp;RD-&amp;P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34"/>
  <sheetViews>
    <sheetView zoomScaleNormal="100" workbookViewId="0">
      <selection activeCell="L28" sqref="L28"/>
    </sheetView>
  </sheetViews>
  <sheetFormatPr defaultRowHeight="12.75" x14ac:dyDescent="0.2"/>
  <cols>
    <col min="1" max="3" width="15.7109375" customWidth="1"/>
    <col min="4" max="4" width="13.7109375" bestFit="1" customWidth="1"/>
    <col min="5" max="5" width="14.85546875" bestFit="1" customWidth="1"/>
    <col min="6" max="6" width="14.85546875" hidden="1" customWidth="1"/>
    <col min="7" max="7" width="14.7109375" bestFit="1" customWidth="1"/>
    <col min="8" max="8" width="14.7109375" style="278" customWidth="1"/>
    <col min="9" max="10" width="15.7109375" customWidth="1"/>
  </cols>
  <sheetData>
    <row r="1" spans="1:10" x14ac:dyDescent="0.2">
      <c r="A1" s="298"/>
      <c r="B1" s="294"/>
      <c r="C1" s="294"/>
      <c r="D1" s="294"/>
      <c r="E1" s="294"/>
      <c r="F1" s="294"/>
      <c r="G1" s="300" t="s">
        <v>406</v>
      </c>
      <c r="H1" s="300"/>
      <c r="I1" s="291"/>
      <c r="J1" s="294" t="s">
        <v>406</v>
      </c>
    </row>
    <row r="2" spans="1:10" x14ac:dyDescent="0.2">
      <c r="A2" s="291"/>
      <c r="B2" s="294" t="s">
        <v>461</v>
      </c>
      <c r="C2" s="294" t="s">
        <v>461</v>
      </c>
      <c r="D2" s="291"/>
      <c r="E2" s="291"/>
      <c r="F2" s="291"/>
      <c r="G2" s="294" t="s">
        <v>461</v>
      </c>
      <c r="H2" s="300"/>
      <c r="I2" s="291"/>
      <c r="J2" s="294" t="s">
        <v>461</v>
      </c>
    </row>
    <row r="3" spans="1:10" x14ac:dyDescent="0.2">
      <c r="A3" s="291"/>
      <c r="B3" s="294" t="s">
        <v>462</v>
      </c>
      <c r="C3" s="294" t="s">
        <v>462</v>
      </c>
      <c r="D3" s="291"/>
      <c r="E3" s="300" t="s">
        <v>406</v>
      </c>
      <c r="F3" s="294" t="s">
        <v>406</v>
      </c>
      <c r="G3" s="294" t="s">
        <v>462</v>
      </c>
      <c r="H3" s="300" t="s">
        <v>406</v>
      </c>
      <c r="I3" s="294" t="s">
        <v>406</v>
      </c>
      <c r="J3" s="294" t="s">
        <v>462</v>
      </c>
    </row>
    <row r="4" spans="1:10" x14ac:dyDescent="0.2">
      <c r="A4" s="291"/>
      <c r="B4" s="294" t="s">
        <v>463</v>
      </c>
      <c r="C4" s="294" t="s">
        <v>463</v>
      </c>
      <c r="D4" s="294" t="s">
        <v>35</v>
      </c>
      <c r="E4" s="294" t="s">
        <v>500</v>
      </c>
      <c r="F4" s="294" t="s">
        <v>418</v>
      </c>
      <c r="G4" s="294" t="s">
        <v>463</v>
      </c>
      <c r="H4" s="300" t="s">
        <v>500</v>
      </c>
      <c r="I4" s="294" t="s">
        <v>418</v>
      </c>
      <c r="J4" s="294" t="s">
        <v>463</v>
      </c>
    </row>
    <row r="5" spans="1:10" x14ac:dyDescent="0.2">
      <c r="A5" s="292" t="s">
        <v>362</v>
      </c>
      <c r="B5" s="292" t="s">
        <v>512</v>
      </c>
      <c r="C5" s="292" t="s">
        <v>516</v>
      </c>
      <c r="D5" s="292" t="s">
        <v>101</v>
      </c>
      <c r="E5" s="292" t="s">
        <v>501</v>
      </c>
      <c r="F5" s="292" t="s">
        <v>454</v>
      </c>
      <c r="G5" s="292" t="s">
        <v>527</v>
      </c>
      <c r="H5" s="301" t="s">
        <v>501</v>
      </c>
      <c r="I5" s="292" t="s">
        <v>454</v>
      </c>
      <c r="J5" s="292" t="s">
        <v>546</v>
      </c>
    </row>
    <row r="6" spans="1:10" x14ac:dyDescent="0.2">
      <c r="A6" s="291"/>
      <c r="B6" s="295"/>
      <c r="C6" s="295"/>
      <c r="D6" s="295"/>
      <c r="E6" s="295"/>
      <c r="F6" s="295"/>
      <c r="G6" s="295"/>
      <c r="H6" s="302"/>
      <c r="I6" s="296"/>
      <c r="J6" s="295"/>
    </row>
    <row r="7" spans="1:10" x14ac:dyDescent="0.2">
      <c r="A7" s="291" t="s">
        <v>6</v>
      </c>
      <c r="B7" s="299">
        <v>268182.65000000002</v>
      </c>
      <c r="C7" s="299">
        <v>288236.84999999998</v>
      </c>
      <c r="D7" s="303">
        <v>7.4778140942376226E-2</v>
      </c>
      <c r="E7" s="379">
        <v>-0.09</v>
      </c>
      <c r="F7" s="359">
        <v>38010.830000000016</v>
      </c>
      <c r="G7" s="299">
        <v>262295.53349999996</v>
      </c>
      <c r="H7" s="379">
        <v>0.03</v>
      </c>
      <c r="I7" s="299">
        <v>7868.8660049999989</v>
      </c>
      <c r="J7" s="295">
        <v>270164.39950499998</v>
      </c>
    </row>
    <row r="8" spans="1:10" x14ac:dyDescent="0.2">
      <c r="A8" s="291" t="s">
        <v>7</v>
      </c>
      <c r="B8" s="299">
        <v>89257.3</v>
      </c>
      <c r="C8" s="299">
        <v>70934.05</v>
      </c>
      <c r="D8" s="303">
        <v>-0.20528573013075679</v>
      </c>
      <c r="E8" s="379">
        <v>0.3</v>
      </c>
      <c r="F8" s="359">
        <v>-291149.76</v>
      </c>
      <c r="G8" s="299">
        <v>92214.265000000014</v>
      </c>
      <c r="H8" s="379">
        <v>0.01</v>
      </c>
      <c r="I8" s="299">
        <v>922.14265000000012</v>
      </c>
      <c r="J8" s="295">
        <v>93136.407650000008</v>
      </c>
    </row>
    <row r="9" spans="1:10" x14ac:dyDescent="0.2">
      <c r="A9" s="291" t="s">
        <v>8</v>
      </c>
      <c r="B9" s="299">
        <v>18055558.239999998</v>
      </c>
      <c r="C9" s="299">
        <v>19536319.280000001</v>
      </c>
      <c r="D9" s="303">
        <v>8.2011368483725311E-2</v>
      </c>
      <c r="E9" s="379">
        <v>0.04</v>
      </c>
      <c r="F9" s="359">
        <v>170823.78139999881</v>
      </c>
      <c r="G9" s="299">
        <v>20317772.051200002</v>
      </c>
      <c r="H9" s="379">
        <v>0.03</v>
      </c>
      <c r="I9" s="299">
        <v>609533.16153600009</v>
      </c>
      <c r="J9" s="295">
        <v>20927305.212736003</v>
      </c>
    </row>
    <row r="10" spans="1:10" x14ac:dyDescent="0.2">
      <c r="A10" s="291" t="s">
        <v>9</v>
      </c>
      <c r="B10" s="299">
        <v>630982</v>
      </c>
      <c r="C10" s="299">
        <v>707387.11</v>
      </c>
      <c r="D10" s="303">
        <v>0.12108920698213259</v>
      </c>
      <c r="E10" s="379">
        <v>-0.03</v>
      </c>
      <c r="F10" s="359">
        <v>-25111.020000000019</v>
      </c>
      <c r="G10" s="299">
        <v>686165.49670000002</v>
      </c>
      <c r="H10" s="379">
        <v>0.03</v>
      </c>
      <c r="I10" s="299">
        <v>20584.964900999999</v>
      </c>
      <c r="J10" s="295">
        <v>706750.46160100005</v>
      </c>
    </row>
    <row r="11" spans="1:10" x14ac:dyDescent="0.2">
      <c r="A11" s="291" t="s">
        <v>10</v>
      </c>
      <c r="B11" s="299">
        <v>292568.64999999997</v>
      </c>
      <c r="C11" s="299">
        <v>277359.24999999994</v>
      </c>
      <c r="D11" s="303">
        <v>-5.1985747618550467E-2</v>
      </c>
      <c r="E11" s="379">
        <v>-0.02</v>
      </c>
      <c r="F11" s="359">
        <v>6555.9285000000091</v>
      </c>
      <c r="G11" s="299">
        <v>271812.06499999994</v>
      </c>
      <c r="H11" s="379">
        <v>0.02</v>
      </c>
      <c r="I11" s="299">
        <v>5436.2412999999988</v>
      </c>
      <c r="J11" s="295">
        <v>277248.30629999994</v>
      </c>
    </row>
    <row r="12" spans="1:10" x14ac:dyDescent="0.2">
      <c r="A12" s="291" t="s">
        <v>11</v>
      </c>
      <c r="B12" s="299">
        <v>2463.4499999999998</v>
      </c>
      <c r="C12" s="299">
        <v>20335.7</v>
      </c>
      <c r="D12" s="303">
        <v>7.2549676267023893</v>
      </c>
      <c r="E12" s="379">
        <v>-0.85</v>
      </c>
      <c r="F12" s="359">
        <v>1173.5762500000001</v>
      </c>
      <c r="G12" s="299">
        <v>3050.3550000000005</v>
      </c>
      <c r="H12" s="379">
        <v>0</v>
      </c>
      <c r="I12" s="299">
        <v>0</v>
      </c>
      <c r="J12" s="295">
        <v>3050.3550000000005</v>
      </c>
    </row>
    <row r="13" spans="1:10" x14ac:dyDescent="0.2">
      <c r="A13" s="291" t="s">
        <v>12</v>
      </c>
      <c r="B13" s="299">
        <v>8363.85</v>
      </c>
      <c r="C13" s="299">
        <v>9091.4000000000015</v>
      </c>
      <c r="D13" s="303">
        <v>8.6987451950955724E-2</v>
      </c>
      <c r="E13" s="379">
        <v>-0.4</v>
      </c>
      <c r="F13" s="359">
        <v>25962.013000000003</v>
      </c>
      <c r="G13" s="299">
        <v>5454.8400000000011</v>
      </c>
      <c r="H13" s="379">
        <v>0</v>
      </c>
      <c r="I13" s="299">
        <v>0</v>
      </c>
      <c r="J13" s="295">
        <v>5454.8400000000011</v>
      </c>
    </row>
    <row r="14" spans="1:10" x14ac:dyDescent="0.2">
      <c r="A14" s="291" t="s">
        <v>13</v>
      </c>
      <c r="B14" s="299">
        <v>111734.14000000001</v>
      </c>
      <c r="C14" s="299">
        <v>93427.94</v>
      </c>
      <c r="D14" s="303">
        <v>-0.16383712265561814</v>
      </c>
      <c r="E14" s="379">
        <v>0.55000000000000004</v>
      </c>
      <c r="F14" s="359">
        <v>29676.350000000006</v>
      </c>
      <c r="G14" s="299">
        <v>144813.307</v>
      </c>
      <c r="H14" s="379">
        <v>0</v>
      </c>
      <c r="I14" s="299">
        <v>0</v>
      </c>
      <c r="J14" s="295">
        <v>144813.307</v>
      </c>
    </row>
    <row r="15" spans="1:10" x14ac:dyDescent="0.2">
      <c r="A15" s="291" t="s">
        <v>14</v>
      </c>
      <c r="B15" s="299">
        <v>25707.279999999999</v>
      </c>
      <c r="C15" s="299">
        <v>22300.849999999995</v>
      </c>
      <c r="D15" s="303">
        <v>-0.13250837894946504</v>
      </c>
      <c r="E15" s="379">
        <v>0.74</v>
      </c>
      <c r="F15" s="359">
        <v>5277.695499999998</v>
      </c>
      <c r="G15" s="299">
        <v>38803.478999999992</v>
      </c>
      <c r="H15" s="379">
        <v>-0.23</v>
      </c>
      <c r="I15" s="299">
        <v>-8924.8001699999986</v>
      </c>
      <c r="J15" s="295">
        <v>29878.678829999993</v>
      </c>
    </row>
    <row r="16" spans="1:10" x14ac:dyDescent="0.2">
      <c r="A16" s="291" t="s">
        <v>15</v>
      </c>
      <c r="B16" s="299">
        <v>16632</v>
      </c>
      <c r="C16" s="299">
        <v>11873.95</v>
      </c>
      <c r="D16" s="303">
        <v>-0.28607804232804229</v>
      </c>
      <c r="E16" s="379">
        <v>0.03</v>
      </c>
      <c r="F16" s="359">
        <v>-156.95900000000074</v>
      </c>
      <c r="G16" s="299">
        <v>12230.168500000002</v>
      </c>
      <c r="H16" s="379">
        <v>0.01</v>
      </c>
      <c r="I16" s="299">
        <v>122.30168500000002</v>
      </c>
      <c r="J16" s="295">
        <v>12352.470185000002</v>
      </c>
    </row>
    <row r="17" spans="1:10" x14ac:dyDescent="0.2">
      <c r="A17" s="291" t="s">
        <v>16</v>
      </c>
      <c r="B17" s="299">
        <v>302928.45</v>
      </c>
      <c r="C17" s="299">
        <v>385353.65</v>
      </c>
      <c r="D17" s="303">
        <v>0.27209461508154814</v>
      </c>
      <c r="E17" s="379">
        <v>-2.5000000000000001E-2</v>
      </c>
      <c r="F17" s="359">
        <v>-59800.851000000024</v>
      </c>
      <c r="G17" s="299">
        <v>375719.80875000003</v>
      </c>
      <c r="H17" s="379">
        <v>0.05</v>
      </c>
      <c r="I17" s="299">
        <v>18785.990437500001</v>
      </c>
      <c r="J17" s="295">
        <v>394505.79918750003</v>
      </c>
    </row>
    <row r="18" spans="1:10" x14ac:dyDescent="0.2">
      <c r="A18" s="291" t="s">
        <v>17</v>
      </c>
      <c r="B18" s="299">
        <v>11593.45</v>
      </c>
      <c r="C18" s="299">
        <v>7911.2000000000007</v>
      </c>
      <c r="D18" s="303">
        <v>-0.31761468760377626</v>
      </c>
      <c r="E18" s="379">
        <v>5.5E-2</v>
      </c>
      <c r="F18" s="359">
        <v>6884.5919999999996</v>
      </c>
      <c r="G18" s="299">
        <v>8346.3160000000007</v>
      </c>
      <c r="H18" s="379">
        <v>0.01</v>
      </c>
      <c r="I18" s="299">
        <v>83.463160000000002</v>
      </c>
      <c r="J18" s="295">
        <v>8429.77916</v>
      </c>
    </row>
    <row r="19" spans="1:10" x14ac:dyDescent="0.2">
      <c r="A19" s="291" t="s">
        <v>18</v>
      </c>
      <c r="B19" s="299">
        <v>194441.5</v>
      </c>
      <c r="C19" s="299">
        <v>174933.55</v>
      </c>
      <c r="D19" s="303">
        <v>-0.10032811925437735</v>
      </c>
      <c r="E19" s="379">
        <v>0.02</v>
      </c>
      <c r="F19" s="359">
        <v>2132.8184999999939</v>
      </c>
      <c r="G19" s="299">
        <v>178432.22099999999</v>
      </c>
      <c r="H19" s="379">
        <v>0.01</v>
      </c>
      <c r="I19" s="299">
        <v>1784.32221</v>
      </c>
      <c r="J19" s="295">
        <v>180216.54321</v>
      </c>
    </row>
    <row r="20" spans="1:10" x14ac:dyDescent="0.2">
      <c r="A20" s="291" t="s">
        <v>19</v>
      </c>
      <c r="B20" s="299">
        <v>25301.059999999998</v>
      </c>
      <c r="C20" s="299">
        <v>17263.400000000001</v>
      </c>
      <c r="D20" s="303">
        <v>-0.31768076120130923</v>
      </c>
      <c r="E20" s="379">
        <v>1.04</v>
      </c>
      <c r="F20" s="359">
        <v>298.00840000000062</v>
      </c>
      <c r="G20" s="299">
        <v>35217.336000000003</v>
      </c>
      <c r="H20" s="379">
        <v>-0.5</v>
      </c>
      <c r="I20" s="299">
        <v>-17608.668000000001</v>
      </c>
      <c r="J20" s="295">
        <v>17608.668000000001</v>
      </c>
    </row>
    <row r="21" spans="1:10" x14ac:dyDescent="0.2">
      <c r="A21" s="291" t="s">
        <v>20</v>
      </c>
      <c r="B21" s="299">
        <v>31747.100000000002</v>
      </c>
      <c r="C21" s="299">
        <v>72196.09</v>
      </c>
      <c r="D21" s="303">
        <v>1.2741003115245169</v>
      </c>
      <c r="E21" s="379">
        <v>0.05</v>
      </c>
      <c r="F21" s="359">
        <v>19631.281999999999</v>
      </c>
      <c r="G21" s="299">
        <v>75805.894499999995</v>
      </c>
      <c r="H21" s="379">
        <v>0.09</v>
      </c>
      <c r="I21" s="299">
        <v>6822.5305049999997</v>
      </c>
      <c r="J21" s="295">
        <v>82628.425004999997</v>
      </c>
    </row>
    <row r="22" spans="1:10" x14ac:dyDescent="0.2">
      <c r="A22" s="291" t="s">
        <v>21</v>
      </c>
      <c r="B22" s="299">
        <v>3402263.6999999997</v>
      </c>
      <c r="C22" s="299">
        <v>3949712.85</v>
      </c>
      <c r="D22" s="303">
        <v>0.16090732473206013</v>
      </c>
      <c r="E22" s="379">
        <v>0.16</v>
      </c>
      <c r="F22" s="359">
        <v>-88010.637000000104</v>
      </c>
      <c r="G22" s="299">
        <v>4581666.9059999995</v>
      </c>
      <c r="H22" s="379">
        <v>0.03</v>
      </c>
      <c r="I22" s="299">
        <v>137450.00717999999</v>
      </c>
      <c r="J22" s="295">
        <v>4719116.9131799992</v>
      </c>
    </row>
    <row r="23" spans="1:10" ht="15" x14ac:dyDescent="0.35">
      <c r="A23" s="291" t="s">
        <v>22</v>
      </c>
      <c r="B23" s="293">
        <v>31363.75</v>
      </c>
      <c r="C23" s="293">
        <v>31495.200000000001</v>
      </c>
      <c r="D23" s="303">
        <v>4.1911442349846792E-3</v>
      </c>
      <c r="E23" s="379">
        <v>0.03</v>
      </c>
      <c r="F23" s="359">
        <v>0</v>
      </c>
      <c r="G23" s="293">
        <v>32440.056</v>
      </c>
      <c r="H23" s="379">
        <v>0</v>
      </c>
      <c r="I23" s="293">
        <v>0</v>
      </c>
      <c r="J23" s="293">
        <v>32440.056</v>
      </c>
    </row>
    <row r="24" spans="1:10" x14ac:dyDescent="0.2">
      <c r="B24" s="228"/>
      <c r="C24" s="106"/>
      <c r="D24" s="230"/>
      <c r="E24" s="230"/>
      <c r="F24" s="230"/>
      <c r="G24" s="228"/>
      <c r="H24" s="276"/>
      <c r="I24" s="230"/>
      <c r="J24" s="228"/>
    </row>
    <row r="25" spans="1:10" x14ac:dyDescent="0.2">
      <c r="B25" s="228"/>
      <c r="C25" s="228"/>
      <c r="D25" s="230"/>
      <c r="E25" s="230"/>
      <c r="F25" s="230"/>
      <c r="G25" s="228"/>
      <c r="H25" s="276"/>
      <c r="I25" s="230"/>
      <c r="J25" s="228"/>
    </row>
    <row r="26" spans="1:10" ht="13.5" thickBot="1" x14ac:dyDescent="0.25">
      <c r="A26" t="s">
        <v>5</v>
      </c>
      <c r="B26" s="231">
        <v>23501088.569999997</v>
      </c>
      <c r="C26" s="231">
        <v>25676132.319999997</v>
      </c>
      <c r="D26" s="232">
        <v>9.2550766043089733E-2</v>
      </c>
      <c r="E26" s="229"/>
      <c r="F26" s="229"/>
      <c r="G26" s="231">
        <v>27122240.099150002</v>
      </c>
      <c r="H26" s="277"/>
      <c r="I26" s="297">
        <v>782860.52339950018</v>
      </c>
      <c r="J26" s="231">
        <v>27905100.622549504</v>
      </c>
    </row>
    <row r="27" spans="1:10" ht="13.5" thickTop="1" x14ac:dyDescent="0.2">
      <c r="B27" s="230"/>
      <c r="C27" s="230"/>
      <c r="D27" s="229"/>
      <c r="E27" s="229"/>
      <c r="F27" s="230"/>
      <c r="G27" s="230"/>
      <c r="H27" s="276"/>
      <c r="I27" s="230"/>
      <c r="J27" s="230"/>
    </row>
    <row r="28" spans="1:10" x14ac:dyDescent="0.2">
      <c r="B28" s="230"/>
      <c r="C28" s="230"/>
      <c r="D28" s="229"/>
      <c r="E28" s="229"/>
      <c r="F28" s="230"/>
      <c r="G28" s="230"/>
      <c r="H28" s="276"/>
      <c r="I28" s="230"/>
      <c r="J28" s="230"/>
    </row>
    <row r="29" spans="1:10" x14ac:dyDescent="0.2">
      <c r="B29" s="230"/>
      <c r="C29" s="230"/>
      <c r="D29" s="229"/>
      <c r="E29" s="229"/>
      <c r="F29" s="230"/>
      <c r="G29" s="230"/>
      <c r="H29" s="276"/>
      <c r="I29" s="230"/>
      <c r="J29" s="230"/>
    </row>
    <row r="30" spans="1:10" ht="25.5" customHeight="1" x14ac:dyDescent="0.2">
      <c r="B30" s="382" t="s">
        <v>493</v>
      </c>
      <c r="C30" s="382"/>
      <c r="D30" s="382"/>
      <c r="E30" s="382"/>
      <c r="F30" s="382"/>
      <c r="G30" s="382"/>
      <c r="H30" s="382"/>
      <c r="I30" s="382"/>
      <c r="J30" s="382"/>
    </row>
    <row r="31" spans="1:10" x14ac:dyDescent="0.2">
      <c r="B31" s="230"/>
      <c r="C31" s="230"/>
      <c r="D31" s="229"/>
      <c r="E31" s="229"/>
      <c r="F31" s="230"/>
      <c r="G31" s="230"/>
      <c r="H31" s="276"/>
      <c r="I31" s="230"/>
      <c r="J31" s="230"/>
    </row>
    <row r="32" spans="1:10" x14ac:dyDescent="0.2">
      <c r="B32" s="233"/>
      <c r="C32" s="159"/>
      <c r="D32" s="159"/>
      <c r="E32" s="159"/>
    </row>
    <row r="33" spans="2:5" x14ac:dyDescent="0.2">
      <c r="B33" s="233"/>
      <c r="C33" s="159"/>
      <c r="D33" s="159"/>
      <c r="E33" s="159"/>
    </row>
    <row r="34" spans="2:5" x14ac:dyDescent="0.2">
      <c r="B34" s="159"/>
      <c r="C34" s="159"/>
      <c r="D34" s="159"/>
      <c r="E34" s="159"/>
    </row>
  </sheetData>
  <mergeCells count="1">
    <mergeCell ref="B30:J30"/>
  </mergeCells>
  <phoneticPr fontId="0" type="noConversion"/>
  <printOptions horizontalCentered="1" verticalCentered="1"/>
  <pageMargins left="0.75" right="0.75" top="1" bottom="1" header="0.5" footer="0.5"/>
  <pageSetup scale="89" firstPageNumber="8" orientation="landscape" useFirstPageNumber="1" r:id="rId1"/>
  <headerFooter alignWithMargins="0">
    <oddHeader>&amp;CREAL PROPERTY TRANSFER TAX</oddHeader>
    <oddFooter>&amp;LADMINISTRATIVE SERVICES DIVISION, 3/15/15
&amp;RD-&amp;P</oddFooter>
  </headerFooter>
  <drawing r:id="rId2"/>
  <legacyDrawing r:id="rId3"/>
  <oleObjects>
    <mc:AlternateContent xmlns:mc="http://schemas.openxmlformats.org/markup-compatibility/2006">
      <mc:Choice Requires="x14">
        <oleObject progId="Word.Document.8" dvAspect="DVASPECT_ICON" shapeId="24577" r:id="rId4">
          <objectPr defaultSize="0" autoPict="0" r:id="rId5">
            <anchor moveWithCells="1">
              <from>
                <xdr:col>1</xdr:col>
                <xdr:colOff>0</xdr:colOff>
                <xdr:row>46</xdr:row>
                <xdr:rowOff>0</xdr:rowOff>
              </from>
              <to>
                <xdr:col>1</xdr:col>
                <xdr:colOff>914400</xdr:colOff>
                <xdr:row>50</xdr:row>
                <xdr:rowOff>38100</xdr:rowOff>
              </to>
            </anchor>
          </objectPr>
        </oleObject>
      </mc:Choice>
      <mc:Fallback>
        <oleObject progId="Word.Document.8" dvAspect="DVASPECT_ICON" shapeId="24577"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I30"/>
  <sheetViews>
    <sheetView workbookViewId="0">
      <selection activeCell="G27" sqref="G27"/>
    </sheetView>
  </sheetViews>
  <sheetFormatPr defaultRowHeight="12.75" x14ac:dyDescent="0.2"/>
  <cols>
    <col min="1" max="1" width="15.7109375" style="252" customWidth="1"/>
    <col min="2" max="2" width="13.7109375" style="252" bestFit="1" customWidth="1"/>
    <col min="3" max="3" width="17.85546875" style="252" bestFit="1" customWidth="1"/>
    <col min="4" max="4" width="13.7109375" style="252" bestFit="1" customWidth="1"/>
    <col min="5" max="5" width="15.7109375" style="252" customWidth="1"/>
    <col min="6" max="6" width="13.85546875" style="252" bestFit="1" customWidth="1"/>
    <col min="7" max="9" width="15.7109375" style="252" customWidth="1"/>
    <col min="10" max="16384" width="9.140625" style="252"/>
  </cols>
  <sheetData>
    <row r="4" spans="1:7" x14ac:dyDescent="0.2">
      <c r="C4" s="290" t="s">
        <v>545</v>
      </c>
      <c r="E4" s="253" t="s">
        <v>464</v>
      </c>
      <c r="F4" s="253"/>
      <c r="G4" s="253" t="s">
        <v>406</v>
      </c>
    </row>
    <row r="5" spans="1:7" x14ac:dyDescent="0.2">
      <c r="C5" s="253" t="s">
        <v>465</v>
      </c>
      <c r="D5" s="253"/>
      <c r="E5" s="253" t="s">
        <v>49</v>
      </c>
      <c r="F5" s="253"/>
      <c r="G5" s="253" t="s">
        <v>466</v>
      </c>
    </row>
    <row r="6" spans="1:7" x14ac:dyDescent="0.2">
      <c r="C6" s="253" t="s">
        <v>467</v>
      </c>
      <c r="D6" s="253"/>
      <c r="E6" s="253" t="s">
        <v>468</v>
      </c>
      <c r="F6" s="253"/>
      <c r="G6" s="253" t="s">
        <v>437</v>
      </c>
    </row>
    <row r="7" spans="1:7" x14ac:dyDescent="0.2">
      <c r="A7" s="200" t="s">
        <v>362</v>
      </c>
      <c r="B7" s="200"/>
      <c r="C7" s="200" t="s">
        <v>422</v>
      </c>
      <c r="D7" s="200"/>
      <c r="E7" s="200" t="s">
        <v>469</v>
      </c>
      <c r="F7" s="200"/>
      <c r="G7" s="200" t="s">
        <v>47</v>
      </c>
    </row>
    <row r="9" spans="1:7" x14ac:dyDescent="0.2">
      <c r="A9" s="252" t="s">
        <v>6</v>
      </c>
      <c r="C9" s="299">
        <v>4320411.5224079993</v>
      </c>
      <c r="D9" s="299"/>
      <c r="E9" s="299">
        <v>2213954.91524</v>
      </c>
      <c r="F9" s="299"/>
      <c r="G9" s="299">
        <v>2106456.6071679993</v>
      </c>
    </row>
    <row r="10" spans="1:7" x14ac:dyDescent="0.2">
      <c r="A10" s="252" t="s">
        <v>7</v>
      </c>
      <c r="C10" s="299">
        <v>2522680.87995</v>
      </c>
      <c r="D10" s="299"/>
      <c r="E10" s="299">
        <v>1327814</v>
      </c>
      <c r="F10" s="299"/>
      <c r="G10" s="299">
        <v>1194866.87995</v>
      </c>
    </row>
    <row r="11" spans="1:7" x14ac:dyDescent="0.2">
      <c r="A11" s="252" t="s">
        <v>8</v>
      </c>
      <c r="C11" s="299">
        <v>171600079.24773005</v>
      </c>
      <c r="D11" s="299"/>
      <c r="E11" s="299">
        <v>77155973</v>
      </c>
      <c r="F11" s="299"/>
      <c r="G11" s="299">
        <v>94444106.247730047</v>
      </c>
    </row>
    <row r="12" spans="1:7" x14ac:dyDescent="0.2">
      <c r="A12" s="252" t="s">
        <v>9</v>
      </c>
      <c r="C12" s="299">
        <v>6032985.7281160001</v>
      </c>
      <c r="D12" s="299"/>
      <c r="E12" s="299">
        <v>3668605.7520130174</v>
      </c>
      <c r="F12" s="299"/>
      <c r="G12" s="299">
        <v>2364379.9761029826</v>
      </c>
    </row>
    <row r="13" spans="1:7" x14ac:dyDescent="0.2">
      <c r="A13" s="252" t="s">
        <v>10</v>
      </c>
      <c r="C13" s="299">
        <v>7859950.6334000006</v>
      </c>
      <c r="D13" s="299"/>
      <c r="E13" s="299">
        <v>3853326.9530676696</v>
      </c>
      <c r="F13" s="299"/>
      <c r="G13" s="299">
        <v>4006623.680332331</v>
      </c>
    </row>
    <row r="14" spans="1:7" x14ac:dyDescent="0.2">
      <c r="A14" s="252" t="s">
        <v>11</v>
      </c>
      <c r="C14" s="299">
        <v>372036.04680000001</v>
      </c>
      <c r="D14" s="299"/>
      <c r="E14" s="299">
        <v>203318.46743287769</v>
      </c>
      <c r="F14" s="299"/>
      <c r="G14" s="299">
        <v>168717.57936712232</v>
      </c>
    </row>
    <row r="15" spans="1:7" x14ac:dyDescent="0.2">
      <c r="A15" s="252" t="s">
        <v>12</v>
      </c>
      <c r="C15" s="299">
        <v>633087.22591799998</v>
      </c>
      <c r="D15" s="299"/>
      <c r="E15" s="299">
        <v>318208</v>
      </c>
      <c r="F15" s="299"/>
      <c r="G15" s="299">
        <v>314879.22591799998</v>
      </c>
    </row>
    <row r="16" spans="1:7" x14ac:dyDescent="0.2">
      <c r="A16" s="252" t="s">
        <v>13</v>
      </c>
      <c r="C16" s="299">
        <v>2971319.6556919999</v>
      </c>
      <c r="D16" s="299"/>
      <c r="E16" s="299">
        <v>1495544</v>
      </c>
      <c r="F16" s="299"/>
      <c r="G16" s="299">
        <v>1475775.6556919999</v>
      </c>
    </row>
    <row r="17" spans="1:9" x14ac:dyDescent="0.2">
      <c r="A17" s="252" t="s">
        <v>14</v>
      </c>
      <c r="C17" s="299">
        <v>1076868.2315160001</v>
      </c>
      <c r="D17" s="299"/>
      <c r="E17" s="299">
        <v>429195.67711067345</v>
      </c>
      <c r="F17" s="299"/>
      <c r="G17" s="299">
        <v>647672.55440532672</v>
      </c>
    </row>
    <row r="18" spans="1:9" x14ac:dyDescent="0.2">
      <c r="A18" s="252" t="s">
        <v>15</v>
      </c>
      <c r="C18" s="299">
        <v>798340.18834500003</v>
      </c>
      <c r="D18" s="299"/>
      <c r="E18" s="299">
        <v>407442</v>
      </c>
      <c r="F18" s="299"/>
      <c r="G18" s="299">
        <v>390898.18834500003</v>
      </c>
    </row>
    <row r="19" spans="1:9" x14ac:dyDescent="0.2">
      <c r="A19" s="252" t="s">
        <v>16</v>
      </c>
      <c r="C19" s="299">
        <v>4462390.9500660002</v>
      </c>
      <c r="D19" s="299"/>
      <c r="E19" s="299">
        <v>2017359.8224393514</v>
      </c>
      <c r="F19" s="299"/>
      <c r="G19" s="299">
        <v>2445031.1276266491</v>
      </c>
    </row>
    <row r="20" spans="1:9" x14ac:dyDescent="0.2">
      <c r="A20" s="352" t="s">
        <v>17</v>
      </c>
      <c r="C20" s="299">
        <v>585681.92654400005</v>
      </c>
      <c r="D20" s="299"/>
      <c r="E20" s="299">
        <v>216677.13224401564</v>
      </c>
      <c r="F20" s="299"/>
      <c r="G20" s="299">
        <v>369004.79429998441</v>
      </c>
    </row>
    <row r="21" spans="1:9" x14ac:dyDescent="0.2">
      <c r="A21" s="252" t="s">
        <v>18</v>
      </c>
      <c r="C21" s="299">
        <v>4284545.1593999993</v>
      </c>
      <c r="D21" s="299"/>
      <c r="E21" s="299">
        <v>2112433.7031417508</v>
      </c>
      <c r="F21" s="299"/>
      <c r="G21" s="299">
        <v>2172111.4562582485</v>
      </c>
    </row>
    <row r="22" spans="1:9" x14ac:dyDescent="0.2">
      <c r="A22" s="252" t="s">
        <v>19</v>
      </c>
      <c r="C22" s="299">
        <v>1274456.384145</v>
      </c>
      <c r="D22" s="299"/>
      <c r="E22" s="299">
        <v>701552.26758139755</v>
      </c>
      <c r="F22" s="299"/>
      <c r="G22" s="299">
        <v>572904.11656360247</v>
      </c>
    </row>
    <row r="23" spans="1:9" x14ac:dyDescent="0.2">
      <c r="A23" s="252" t="s">
        <v>20</v>
      </c>
      <c r="C23" s="299">
        <v>495393.73215499992</v>
      </c>
      <c r="D23" s="299"/>
      <c r="E23" s="299">
        <v>194567.30900000001</v>
      </c>
      <c r="F23" s="299"/>
      <c r="G23" s="299">
        <v>300826.42315499991</v>
      </c>
    </row>
    <row r="24" spans="1:9" x14ac:dyDescent="0.2">
      <c r="A24" s="252" t="s">
        <v>21</v>
      </c>
      <c r="C24" s="299">
        <v>39434883.708271995</v>
      </c>
      <c r="D24" s="299"/>
      <c r="E24" s="299">
        <v>16508193.140999999</v>
      </c>
      <c r="F24" s="299"/>
      <c r="G24" s="299">
        <v>22926690.567271996</v>
      </c>
    </row>
    <row r="25" spans="1:9" ht="15" x14ac:dyDescent="0.35">
      <c r="A25" s="252" t="s">
        <v>22</v>
      </c>
      <c r="C25" s="293">
        <v>1469446.5759999997</v>
      </c>
      <c r="D25" s="293"/>
      <c r="E25" s="293">
        <v>658025.50586000003</v>
      </c>
      <c r="F25" s="293"/>
      <c r="G25" s="293">
        <v>811421.07013999962</v>
      </c>
    </row>
    <row r="27" spans="1:9" ht="13.5" thickBot="1" x14ac:dyDescent="0.25">
      <c r="A27" s="252" t="s">
        <v>5</v>
      </c>
      <c r="C27" s="254">
        <v>250194557.79645702</v>
      </c>
      <c r="D27" s="254"/>
      <c r="E27" s="254">
        <v>113482191.64613077</v>
      </c>
      <c r="F27" s="254"/>
      <c r="G27" s="254">
        <v>136712366.15032628</v>
      </c>
      <c r="I27" s="255"/>
    </row>
    <row r="28" spans="1:9" ht="13.5" thickTop="1" x14ac:dyDescent="0.2"/>
    <row r="29" spans="1:9" x14ac:dyDescent="0.2">
      <c r="A29" s="227"/>
      <c r="G29" s="255"/>
    </row>
    <row r="30" spans="1:9" x14ac:dyDescent="0.2">
      <c r="A30" s="227"/>
    </row>
  </sheetData>
  <phoneticPr fontId="0" type="noConversion"/>
  <printOptions horizontalCentered="1" verticalCentered="1"/>
  <pageMargins left="0.75" right="0.75" top="1" bottom="1" header="0.5" footer="0.5"/>
  <pageSetup firstPageNumber="9" orientation="landscape" useFirstPageNumber="1" r:id="rId1"/>
  <headerFooter alignWithMargins="0">
    <oddHeader>&amp;CGOVERNMENT SERVICES TAX</oddHeader>
    <oddFooter>&amp;LADMINISTRATIVE SERVICES DIVISION, 3/15/15
&amp;RD-&amp;P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43"/>
  <sheetViews>
    <sheetView zoomScaleNormal="100" workbookViewId="0">
      <pane xSplit="1" ySplit="5" topLeftCell="B6" activePane="bottomRight" state="frozen"/>
      <selection sqref="A1:XFD1048576"/>
      <selection pane="topRight" sqref="A1:XFD1048576"/>
      <selection pane="bottomLeft" sqref="A1:XFD1048576"/>
      <selection pane="bottomRight" activeCell="B25" sqref="B25"/>
    </sheetView>
  </sheetViews>
  <sheetFormatPr defaultColWidth="13" defaultRowHeight="12.75" x14ac:dyDescent="0.2"/>
  <cols>
    <col min="1" max="1" width="40.7109375" style="38" customWidth="1"/>
    <col min="2" max="2" width="15.28515625" style="38" customWidth="1"/>
    <col min="3" max="3" width="15.140625" style="38" customWidth="1"/>
    <col min="4" max="4" width="13" style="38" hidden="1" customWidth="1"/>
    <col min="5" max="5" width="14.42578125" style="38" customWidth="1"/>
    <col min="6" max="7" width="15.140625" style="38" customWidth="1"/>
    <col min="8" max="10" width="13" style="38" customWidth="1"/>
    <col min="11" max="11" width="12.7109375" style="38" customWidth="1"/>
    <col min="12" max="12" width="13" style="38" hidden="1" customWidth="1"/>
    <col min="13" max="13" width="14" style="38" customWidth="1"/>
    <col min="14" max="14" width="15" style="48" bestFit="1" customWidth="1"/>
    <col min="15" max="15" width="14.140625" style="39" customWidth="1"/>
    <col min="16" max="16" width="13.85546875" style="38" bestFit="1" customWidth="1"/>
    <col min="17" max="16384" width="13" style="38"/>
  </cols>
  <sheetData>
    <row r="1" spans="1:20"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20" x14ac:dyDescent="0.2">
      <c r="B2" s="39"/>
      <c r="D2" s="41"/>
      <c r="H2" s="42"/>
      <c r="I2" s="42" t="s">
        <v>81</v>
      </c>
      <c r="J2" s="39"/>
      <c r="K2" s="41" t="s">
        <v>474</v>
      </c>
      <c r="M2" s="39"/>
      <c r="N2" s="41"/>
      <c r="O2" s="41"/>
      <c r="P2" s="41" t="s">
        <v>34</v>
      </c>
    </row>
    <row r="3" spans="1:20" x14ac:dyDescent="0.2">
      <c r="B3" s="41" t="s">
        <v>36</v>
      </c>
      <c r="C3" s="311" t="s">
        <v>554</v>
      </c>
      <c r="D3" s="311" t="s">
        <v>46</v>
      </c>
      <c r="E3" s="311" t="s">
        <v>555</v>
      </c>
      <c r="F3" s="41" t="s">
        <v>373</v>
      </c>
      <c r="G3" s="41" t="s">
        <v>43</v>
      </c>
      <c r="H3" s="41" t="s">
        <v>38</v>
      </c>
      <c r="I3" s="41" t="s">
        <v>100</v>
      </c>
      <c r="J3" s="311" t="s">
        <v>398</v>
      </c>
      <c r="K3" s="41" t="s">
        <v>39</v>
      </c>
      <c r="L3" s="44" t="s">
        <v>345</v>
      </c>
      <c r="M3" s="41" t="s">
        <v>35</v>
      </c>
      <c r="N3" s="140"/>
      <c r="O3" s="41" t="s">
        <v>34</v>
      </c>
      <c r="P3" s="41" t="s">
        <v>554</v>
      </c>
    </row>
    <row r="4" spans="1:20" x14ac:dyDescent="0.2">
      <c r="A4" s="39" t="s">
        <v>229</v>
      </c>
      <c r="B4" s="41" t="s">
        <v>41</v>
      </c>
      <c r="C4" s="41" t="s">
        <v>46</v>
      </c>
      <c r="D4" s="41" t="s">
        <v>323</v>
      </c>
      <c r="E4" s="41" t="s">
        <v>46</v>
      </c>
      <c r="F4" s="311" t="s">
        <v>554</v>
      </c>
      <c r="G4" s="41" t="s">
        <v>47</v>
      </c>
      <c r="H4" s="41" t="s">
        <v>44</v>
      </c>
      <c r="I4" s="41" t="s">
        <v>44</v>
      </c>
      <c r="J4" s="311" t="s">
        <v>44</v>
      </c>
      <c r="K4" s="41" t="s">
        <v>44</v>
      </c>
      <c r="M4" s="41" t="s">
        <v>37</v>
      </c>
      <c r="N4" s="43" t="s">
        <v>43</v>
      </c>
      <c r="O4" s="41" t="s">
        <v>554</v>
      </c>
      <c r="P4" s="41" t="s">
        <v>323</v>
      </c>
    </row>
    <row r="5" spans="1:20" x14ac:dyDescent="0.2">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20" x14ac:dyDescent="0.2">
      <c r="D6" s="46"/>
      <c r="H6" s="24"/>
      <c r="I6" s="24"/>
    </row>
    <row r="7" spans="1:20" x14ac:dyDescent="0.2">
      <c r="A7" s="49" t="s">
        <v>50</v>
      </c>
      <c r="B7" s="50">
        <v>22803842.050546896</v>
      </c>
      <c r="C7" s="46"/>
      <c r="F7" s="46"/>
      <c r="G7" s="46"/>
      <c r="H7" s="24"/>
      <c r="I7" s="24"/>
    </row>
    <row r="8" spans="1:20" x14ac:dyDescent="0.2">
      <c r="D8" s="50"/>
      <c r="I8" s="47"/>
    </row>
    <row r="9" spans="1:20" x14ac:dyDescent="0.2">
      <c r="A9" s="39" t="s">
        <v>55</v>
      </c>
      <c r="D9" s="48"/>
      <c r="E9" s="53"/>
      <c r="O9" s="52"/>
    </row>
    <row r="10" spans="1:20" hidden="1" x14ac:dyDescent="0.2">
      <c r="A10" s="38" t="s">
        <v>328</v>
      </c>
      <c r="D10" s="48"/>
      <c r="E10" s="53"/>
      <c r="L10" s="54">
        <v>0.99870909458619073</v>
      </c>
      <c r="M10" s="54"/>
      <c r="O10" s="52"/>
    </row>
    <row r="11" spans="1:20" hidden="1" x14ac:dyDescent="0.2">
      <c r="A11" s="38" t="s">
        <v>329</v>
      </c>
      <c r="D11" s="48"/>
      <c r="E11" s="53"/>
      <c r="L11" s="55">
        <v>0</v>
      </c>
      <c r="M11" s="55"/>
      <c r="O11" s="52"/>
    </row>
    <row r="12" spans="1:20" x14ac:dyDescent="0.2">
      <c r="A12" s="38" t="s">
        <v>6</v>
      </c>
      <c r="C12" s="48">
        <v>22112547.135200083</v>
      </c>
      <c r="D12" s="48">
        <v>1842712.2612666737</v>
      </c>
      <c r="E12" s="142">
        <v>0.99872126541316253</v>
      </c>
      <c r="F12" s="48" t="s">
        <v>105</v>
      </c>
      <c r="G12" s="48" t="s">
        <v>105</v>
      </c>
      <c r="H12" s="56">
        <v>-9.070828985347848E-3</v>
      </c>
      <c r="I12" s="56">
        <v>-3.8786245349044547E-2</v>
      </c>
      <c r="J12" s="56">
        <v>0.95214292566560765</v>
      </c>
      <c r="K12" s="50">
        <v>21054305.323228057</v>
      </c>
      <c r="L12" s="56">
        <v>0.99870909458619073</v>
      </c>
      <c r="M12" s="93">
        <v>0.99870909458619073</v>
      </c>
      <c r="N12" s="48">
        <v>662126.78475709341</v>
      </c>
      <c r="O12" s="52">
        <v>22774673.920546897</v>
      </c>
      <c r="P12" s="50">
        <v>1897889.4933789081</v>
      </c>
    </row>
    <row r="13" spans="1:20" x14ac:dyDescent="0.2">
      <c r="C13" s="48"/>
      <c r="D13" s="48"/>
      <c r="E13" s="142"/>
      <c r="F13" s="48"/>
      <c r="G13" s="48"/>
      <c r="I13" s="56"/>
      <c r="J13" s="56"/>
      <c r="L13" s="56"/>
      <c r="M13" s="56"/>
      <c r="O13" s="52"/>
      <c r="P13" s="50"/>
    </row>
    <row r="14" spans="1:20" x14ac:dyDescent="0.2">
      <c r="A14" s="39" t="s">
        <v>60</v>
      </c>
      <c r="C14" s="48"/>
      <c r="D14" s="48"/>
      <c r="E14" s="142"/>
      <c r="F14" s="48"/>
      <c r="G14" s="48"/>
      <c r="I14" s="56"/>
      <c r="J14" s="56"/>
      <c r="K14" s="48"/>
      <c r="L14" s="56"/>
      <c r="M14" s="56"/>
      <c r="O14" s="52"/>
      <c r="P14" s="50"/>
    </row>
    <row r="15" spans="1:20" ht="15" x14ac:dyDescent="0.35">
      <c r="A15" s="38" t="s">
        <v>61</v>
      </c>
      <c r="C15" s="58">
        <v>28312.282719999999</v>
      </c>
      <c r="D15" s="58">
        <v>2359.3568933333331</v>
      </c>
      <c r="E15" s="125">
        <v>1.2787345868374455E-3</v>
      </c>
      <c r="F15" s="58" t="s">
        <v>105</v>
      </c>
      <c r="G15" s="58" t="s">
        <v>105</v>
      </c>
      <c r="H15" s="56"/>
      <c r="I15" s="56">
        <v>-3.8782989890371676E-2</v>
      </c>
      <c r="J15" s="56">
        <v>0.96121701010962834</v>
      </c>
      <c r="K15" s="59">
        <v>27214.247745496894</v>
      </c>
      <c r="L15" s="76">
        <v>1.2909054138093201E-3</v>
      </c>
      <c r="M15" s="125">
        <v>1.2909054138093201E-3</v>
      </c>
      <c r="N15" s="56">
        <v>855.84786971950837</v>
      </c>
      <c r="O15" s="59">
        <v>29168.13</v>
      </c>
      <c r="P15" s="59">
        <v>2430.6775000000002</v>
      </c>
      <c r="Q15" s="60"/>
      <c r="R15" s="59"/>
      <c r="S15" s="59"/>
      <c r="T15" s="50"/>
    </row>
    <row r="16" spans="1:20" ht="15" x14ac:dyDescent="0.35">
      <c r="C16" s="58"/>
      <c r="D16" s="48"/>
      <c r="E16" s="143"/>
      <c r="F16" s="58"/>
      <c r="G16" s="58"/>
      <c r="H16" s="57"/>
      <c r="I16" s="56"/>
      <c r="J16" s="56"/>
      <c r="K16" s="59"/>
      <c r="L16" s="56"/>
      <c r="M16" s="126"/>
      <c r="N16" s="58"/>
      <c r="O16" s="60"/>
      <c r="P16" s="59"/>
    </row>
    <row r="17" spans="1:16" x14ac:dyDescent="0.2">
      <c r="C17" s="48"/>
      <c r="D17" s="48"/>
      <c r="E17" s="61"/>
      <c r="F17" s="48"/>
      <c r="G17" s="48"/>
      <c r="H17" s="57"/>
      <c r="I17" s="56"/>
      <c r="J17" s="56"/>
      <c r="K17" s="48"/>
      <c r="L17" s="56"/>
      <c r="M17" s="56"/>
      <c r="N17" s="62"/>
      <c r="O17" s="63"/>
      <c r="P17" s="50"/>
    </row>
    <row r="18" spans="1:16" ht="13.5" thickBot="1" x14ac:dyDescent="0.25">
      <c r="A18" s="64" t="s">
        <v>230</v>
      </c>
      <c r="C18" s="65">
        <v>22140859.417920083</v>
      </c>
      <c r="D18" s="65">
        <v>1845071.6181600071</v>
      </c>
      <c r="E18" s="239">
        <v>1</v>
      </c>
      <c r="F18" s="65">
        <v>0</v>
      </c>
      <c r="G18" s="65">
        <v>662982.63262681291</v>
      </c>
      <c r="H18" s="57"/>
      <c r="I18" s="56"/>
      <c r="J18" s="56"/>
      <c r="K18" s="94">
        <v>21081519.570973553</v>
      </c>
      <c r="L18" s="69">
        <v>1</v>
      </c>
      <c r="M18" s="79">
        <v>1</v>
      </c>
      <c r="N18" s="65">
        <v>662982.63262681291</v>
      </c>
      <c r="O18" s="70">
        <v>22803842.050546896</v>
      </c>
      <c r="P18" s="65">
        <v>1900320.1708789081</v>
      </c>
    </row>
    <row r="19" spans="1:16" ht="13.5" thickTop="1" x14ac:dyDescent="0.2">
      <c r="A19" s="71"/>
      <c r="C19" s="71"/>
      <c r="D19" s="71"/>
      <c r="E19" s="61"/>
      <c r="F19" s="71"/>
      <c r="G19" s="71"/>
      <c r="H19" s="57"/>
      <c r="I19" s="56"/>
      <c r="J19" s="56"/>
      <c r="K19" s="48"/>
      <c r="L19" s="56"/>
      <c r="M19" s="56"/>
      <c r="O19" s="52"/>
    </row>
    <row r="20" spans="1:16" ht="25.5" x14ac:dyDescent="0.2">
      <c r="A20" s="129" t="s">
        <v>536</v>
      </c>
      <c r="C20" s="130"/>
      <c r="D20" s="50"/>
      <c r="E20" s="48"/>
      <c r="F20" s="130"/>
      <c r="G20" s="130"/>
      <c r="K20" s="48"/>
    </row>
    <row r="21" spans="1:16" x14ac:dyDescent="0.2">
      <c r="E21" s="48"/>
      <c r="K21" s="48"/>
    </row>
    <row r="22" spans="1:16" x14ac:dyDescent="0.2">
      <c r="B22" s="50"/>
      <c r="E22" s="61"/>
      <c r="I22" s="56"/>
      <c r="J22" s="56"/>
      <c r="K22" s="48"/>
      <c r="L22" s="56"/>
      <c r="M22" s="56"/>
      <c r="O22" s="52"/>
    </row>
    <row r="23" spans="1:16" x14ac:dyDescent="0.2">
      <c r="E23" s="61"/>
      <c r="I23" s="56"/>
      <c r="J23" s="56"/>
      <c r="K23" s="48"/>
      <c r="L23" s="56"/>
      <c r="M23" s="56"/>
      <c r="O23" s="52"/>
    </row>
    <row r="24" spans="1:16" x14ac:dyDescent="0.2">
      <c r="E24" s="61"/>
      <c r="I24" s="56"/>
      <c r="J24" s="56"/>
      <c r="K24" s="48"/>
      <c r="L24" s="56"/>
      <c r="M24" s="56"/>
      <c r="O24" s="52"/>
    </row>
    <row r="25" spans="1:16" x14ac:dyDescent="0.2">
      <c r="E25" s="61"/>
      <c r="I25" s="56"/>
      <c r="J25" s="56"/>
      <c r="K25" s="48"/>
      <c r="L25" s="56"/>
      <c r="M25" s="56"/>
      <c r="O25" s="52"/>
    </row>
    <row r="26" spans="1:16" x14ac:dyDescent="0.2">
      <c r="E26" s="61"/>
      <c r="I26" s="56"/>
      <c r="J26" s="56"/>
      <c r="K26" s="48"/>
      <c r="L26" s="56"/>
      <c r="M26" s="56"/>
      <c r="O26" s="52"/>
    </row>
    <row r="27" spans="1:16" x14ac:dyDescent="0.2">
      <c r="E27" s="61"/>
      <c r="I27" s="56"/>
      <c r="J27" s="56"/>
      <c r="K27" s="48"/>
      <c r="L27" s="56"/>
      <c r="M27" s="56"/>
      <c r="O27" s="52"/>
    </row>
    <row r="28" spans="1:16" x14ac:dyDescent="0.2">
      <c r="E28" s="61"/>
      <c r="I28" s="56"/>
      <c r="J28" s="56"/>
      <c r="K28" s="48"/>
      <c r="L28" s="56"/>
      <c r="M28" s="56"/>
      <c r="O28" s="52"/>
    </row>
    <row r="29" spans="1:16" x14ac:dyDescent="0.2">
      <c r="E29" s="61"/>
      <c r="I29" s="56"/>
      <c r="J29" s="56"/>
      <c r="K29" s="48"/>
      <c r="L29" s="56"/>
      <c r="M29" s="56"/>
      <c r="O29" s="52"/>
    </row>
    <row r="30" spans="1:16" x14ac:dyDescent="0.2">
      <c r="E30" s="61"/>
      <c r="I30" s="56"/>
      <c r="J30" s="56"/>
      <c r="K30" s="48"/>
      <c r="L30" s="56"/>
      <c r="M30" s="56"/>
      <c r="O30" s="52"/>
    </row>
    <row r="31" spans="1:16" x14ac:dyDescent="0.2">
      <c r="E31" s="61"/>
      <c r="I31" s="56"/>
      <c r="J31" s="56"/>
      <c r="K31" s="48"/>
      <c r="L31" s="56"/>
      <c r="M31" s="56"/>
      <c r="O31" s="52"/>
    </row>
    <row r="32" spans="1:16" x14ac:dyDescent="0.2">
      <c r="E32" s="61"/>
      <c r="I32" s="56"/>
      <c r="J32" s="56"/>
      <c r="K32" s="48"/>
      <c r="L32" s="56"/>
      <c r="M32" s="56"/>
      <c r="O32" s="52"/>
    </row>
    <row r="33" spans="5:15" x14ac:dyDescent="0.2">
      <c r="E33" s="61"/>
      <c r="I33" s="56"/>
      <c r="J33" s="56"/>
      <c r="K33" s="48"/>
      <c r="L33" s="56"/>
      <c r="M33" s="56"/>
      <c r="O33" s="52"/>
    </row>
    <row r="34" spans="5:15" x14ac:dyDescent="0.2">
      <c r="E34" s="61"/>
      <c r="I34" s="56"/>
      <c r="J34" s="56"/>
      <c r="K34" s="48"/>
      <c r="L34" s="56"/>
      <c r="M34" s="56"/>
      <c r="O34" s="52"/>
    </row>
    <row r="35" spans="5:15" x14ac:dyDescent="0.2">
      <c r="E35" s="61"/>
      <c r="I35" s="56"/>
      <c r="J35" s="56"/>
      <c r="K35" s="48"/>
      <c r="L35" s="56"/>
      <c r="M35" s="56"/>
      <c r="O35" s="52"/>
    </row>
    <row r="36" spans="5:15" x14ac:dyDescent="0.2">
      <c r="E36" s="61"/>
      <c r="I36" s="56"/>
      <c r="J36" s="56"/>
      <c r="K36" s="48"/>
      <c r="L36" s="56"/>
      <c r="M36" s="56"/>
      <c r="O36" s="52"/>
    </row>
    <row r="37" spans="5:15" x14ac:dyDescent="0.2">
      <c r="E37" s="61"/>
      <c r="I37" s="56"/>
      <c r="J37" s="56"/>
      <c r="K37" s="48"/>
      <c r="L37" s="56"/>
      <c r="M37" s="56"/>
      <c r="O37" s="52"/>
    </row>
    <row r="38" spans="5:15" x14ac:dyDescent="0.2">
      <c r="E38" s="61"/>
      <c r="I38" s="56"/>
      <c r="J38" s="56"/>
      <c r="K38" s="48"/>
      <c r="L38" s="56"/>
      <c r="M38" s="56"/>
      <c r="O38" s="52"/>
    </row>
    <row r="39" spans="5:15" x14ac:dyDescent="0.2">
      <c r="E39" s="61"/>
      <c r="I39" s="56"/>
      <c r="J39" s="56"/>
      <c r="K39" s="48"/>
      <c r="L39" s="56"/>
      <c r="M39" s="56"/>
      <c r="O39" s="52"/>
    </row>
    <row r="40" spans="5:15" x14ac:dyDescent="0.2">
      <c r="E40" s="61"/>
      <c r="I40" s="56"/>
      <c r="J40" s="56"/>
      <c r="K40" s="48"/>
      <c r="L40" s="56"/>
      <c r="M40" s="56"/>
      <c r="O40" s="52"/>
    </row>
    <row r="41" spans="5:15" x14ac:dyDescent="0.2">
      <c r="E41" s="48"/>
      <c r="K41" s="48"/>
    </row>
    <row r="42" spans="5:15" x14ac:dyDescent="0.2">
      <c r="E42" s="72"/>
      <c r="H42" s="66"/>
      <c r="I42" s="66"/>
      <c r="J42" s="66"/>
      <c r="K42" s="73"/>
      <c r="L42" s="72"/>
      <c r="M42" s="72"/>
      <c r="N42" s="73"/>
      <c r="O42" s="74"/>
    </row>
    <row r="43" spans="5:15" x14ac:dyDescent="0.2">
      <c r="E43" s="66"/>
      <c r="H43" s="66"/>
      <c r="I43" s="66"/>
      <c r="J43" s="66"/>
      <c r="K43" s="66"/>
    </row>
  </sheetData>
  <phoneticPr fontId="0" type="noConversion"/>
  <printOptions horizontalCentered="1" verticalCentered="1"/>
  <pageMargins left="0.75" right="0.75" top="1" bottom="1" header="0.5" footer="0.5"/>
  <pageSetup scale="83" firstPageNumber="10"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46"/>
  <sheetViews>
    <sheetView zoomScaleNormal="100" workbookViewId="0">
      <pane xSplit="1" ySplit="5" topLeftCell="B6" activePane="bottomRight" state="frozen"/>
      <selection sqref="A1:XFD1048576"/>
      <selection pane="topRight" sqref="A1:XFD1048576"/>
      <selection pane="bottomLeft" sqref="A1:XFD1048576"/>
      <selection pane="bottomRight" activeCell="B7" sqref="B7"/>
    </sheetView>
  </sheetViews>
  <sheetFormatPr defaultColWidth="13" defaultRowHeight="12.75" x14ac:dyDescent="0.2"/>
  <cols>
    <col min="1" max="1" width="40.42578125" style="38" customWidth="1"/>
    <col min="2" max="2" width="15.28515625" style="38" bestFit="1" customWidth="1"/>
    <col min="3" max="3" width="15" style="38" customWidth="1"/>
    <col min="4" max="4" width="13" style="38" hidden="1" customWidth="1"/>
    <col min="5" max="5" width="14.42578125" style="38" customWidth="1"/>
    <col min="6" max="6" width="13.85546875" style="38" customWidth="1"/>
    <col min="7" max="7" width="15" style="38" customWidth="1"/>
    <col min="8" max="11" width="13" style="38" customWidth="1"/>
    <col min="12" max="12" width="13" style="38" hidden="1" customWidth="1"/>
    <col min="13" max="13" width="14" style="38" customWidth="1"/>
    <col min="14" max="14" width="15" style="48" customWidth="1"/>
    <col min="15" max="16" width="13.85546875" style="39" customWidth="1"/>
    <col min="17" max="16384" width="13" style="38"/>
  </cols>
  <sheetData>
    <row r="1" spans="1:16" x14ac:dyDescent="0.2">
      <c r="B1" s="40" t="s">
        <v>23</v>
      </c>
      <c r="C1" s="40" t="s">
        <v>403</v>
      </c>
      <c r="D1" s="41" t="s">
        <v>326</v>
      </c>
      <c r="E1" s="40" t="s">
        <v>404</v>
      </c>
      <c r="F1" s="40" t="s">
        <v>24</v>
      </c>
      <c r="G1" s="40" t="s">
        <v>25</v>
      </c>
      <c r="H1" s="40" t="s">
        <v>26</v>
      </c>
      <c r="I1" s="40" t="s">
        <v>27</v>
      </c>
      <c r="J1" s="40" t="s">
        <v>28</v>
      </c>
      <c r="K1" s="40" t="s">
        <v>29</v>
      </c>
      <c r="M1" s="40" t="s">
        <v>30</v>
      </c>
      <c r="N1" s="40" t="s">
        <v>31</v>
      </c>
      <c r="O1" s="40" t="s">
        <v>32</v>
      </c>
      <c r="P1" s="40" t="s">
        <v>33</v>
      </c>
    </row>
    <row r="2" spans="1:16" x14ac:dyDescent="0.2">
      <c r="B2" s="39"/>
      <c r="D2" s="41"/>
      <c r="H2" s="42"/>
      <c r="I2" s="42" t="s">
        <v>81</v>
      </c>
      <c r="J2" s="39"/>
      <c r="K2" s="41" t="s">
        <v>474</v>
      </c>
      <c r="M2" s="39"/>
      <c r="N2" s="41"/>
      <c r="O2" s="41"/>
      <c r="P2" s="41" t="s">
        <v>34</v>
      </c>
    </row>
    <row r="3" spans="1:16" x14ac:dyDescent="0.2">
      <c r="B3" s="41" t="s">
        <v>36</v>
      </c>
      <c r="C3" s="41" t="s">
        <v>554</v>
      </c>
      <c r="D3" s="41" t="s">
        <v>46</v>
      </c>
      <c r="E3" s="41" t="s">
        <v>555</v>
      </c>
      <c r="F3" s="41" t="s">
        <v>373</v>
      </c>
      <c r="G3" s="41" t="s">
        <v>43</v>
      </c>
      <c r="H3" s="41" t="s">
        <v>38</v>
      </c>
      <c r="I3" s="41" t="s">
        <v>100</v>
      </c>
      <c r="J3" s="311" t="s">
        <v>398</v>
      </c>
      <c r="K3" s="41" t="s">
        <v>39</v>
      </c>
      <c r="L3" s="44" t="s">
        <v>345</v>
      </c>
      <c r="M3" s="41" t="s">
        <v>35</v>
      </c>
      <c r="N3" s="140"/>
      <c r="O3" s="41" t="s">
        <v>34</v>
      </c>
      <c r="P3" s="41" t="s">
        <v>554</v>
      </c>
    </row>
    <row r="4" spans="1:16" x14ac:dyDescent="0.2">
      <c r="A4" s="39" t="s">
        <v>231</v>
      </c>
      <c r="B4" s="41" t="s">
        <v>41</v>
      </c>
      <c r="C4" s="41" t="s">
        <v>46</v>
      </c>
      <c r="D4" s="41" t="s">
        <v>323</v>
      </c>
      <c r="E4" s="41" t="s">
        <v>46</v>
      </c>
      <c r="F4" s="41" t="s">
        <v>554</v>
      </c>
      <c r="G4" s="41" t="s">
        <v>47</v>
      </c>
      <c r="H4" s="41" t="s">
        <v>44</v>
      </c>
      <c r="I4" s="41" t="s">
        <v>44</v>
      </c>
      <c r="J4" s="311" t="s">
        <v>44</v>
      </c>
      <c r="K4" s="41" t="s">
        <v>44</v>
      </c>
      <c r="M4" s="41" t="s">
        <v>37</v>
      </c>
      <c r="N4" s="43" t="s">
        <v>43</v>
      </c>
      <c r="O4" s="41" t="s">
        <v>554</v>
      </c>
      <c r="P4" s="41" t="s">
        <v>323</v>
      </c>
    </row>
    <row r="5" spans="1:16" x14ac:dyDescent="0.2">
      <c r="B5" s="44" t="s">
        <v>45</v>
      </c>
      <c r="C5" s="44" t="s">
        <v>47</v>
      </c>
      <c r="D5" s="44" t="s">
        <v>324</v>
      </c>
      <c r="E5" s="44" t="s">
        <v>324</v>
      </c>
      <c r="F5" s="44" t="s">
        <v>47</v>
      </c>
      <c r="G5" s="44" t="s">
        <v>374</v>
      </c>
      <c r="H5" s="44" t="s">
        <v>48</v>
      </c>
      <c r="I5" s="44" t="s">
        <v>48</v>
      </c>
      <c r="J5" s="312" t="s">
        <v>48</v>
      </c>
      <c r="K5" s="44" t="s">
        <v>49</v>
      </c>
      <c r="M5" s="44" t="s">
        <v>42</v>
      </c>
      <c r="N5" s="45" t="s">
        <v>47</v>
      </c>
      <c r="O5" s="44" t="s">
        <v>47</v>
      </c>
      <c r="P5" s="44" t="s">
        <v>47</v>
      </c>
    </row>
    <row r="6" spans="1:16" x14ac:dyDescent="0.2">
      <c r="D6" s="46"/>
      <c r="H6" s="24"/>
      <c r="I6" s="24"/>
    </row>
    <row r="7" spans="1:16" x14ac:dyDescent="0.2">
      <c r="A7" s="49" t="s">
        <v>50</v>
      </c>
      <c r="B7" s="50">
        <v>7462532.2223058585</v>
      </c>
      <c r="C7" s="46"/>
      <c r="H7" s="24"/>
      <c r="I7" s="24"/>
    </row>
    <row r="8" spans="1:16" x14ac:dyDescent="0.2">
      <c r="D8" s="50"/>
      <c r="I8" s="47"/>
    </row>
    <row r="9" spans="1:16" x14ac:dyDescent="0.2">
      <c r="A9" s="39" t="s">
        <v>55</v>
      </c>
      <c r="I9" s="47"/>
      <c r="O9" s="52"/>
      <c r="P9" s="52"/>
    </row>
    <row r="10" spans="1:16" hidden="1" x14ac:dyDescent="0.2">
      <c r="A10" s="38" t="s">
        <v>330</v>
      </c>
      <c r="I10" s="47"/>
      <c r="L10" s="54">
        <v>0.75145870722033026</v>
      </c>
      <c r="M10" s="54"/>
      <c r="O10" s="52"/>
      <c r="P10" s="52"/>
    </row>
    <row r="11" spans="1:16" hidden="1" x14ac:dyDescent="0.2">
      <c r="A11" s="38" t="s">
        <v>329</v>
      </c>
      <c r="I11" s="47"/>
      <c r="L11" s="55">
        <v>0</v>
      </c>
      <c r="M11" s="55"/>
      <c r="O11" s="52"/>
      <c r="P11" s="52"/>
    </row>
    <row r="12" spans="1:16" x14ac:dyDescent="0.2">
      <c r="A12" s="38" t="s">
        <v>232</v>
      </c>
      <c r="C12" s="48">
        <v>5409226.3541574525</v>
      </c>
      <c r="D12" s="48">
        <v>450768.86284645437</v>
      </c>
      <c r="E12" s="127">
        <v>0.74776808379267057</v>
      </c>
      <c r="F12" s="48" t="s">
        <v>105</v>
      </c>
      <c r="G12" s="48" t="s">
        <v>105</v>
      </c>
      <c r="H12" s="56">
        <v>-1.2922957084685762E-2</v>
      </c>
      <c r="I12" s="56">
        <v>-1.3947220413632907E-2</v>
      </c>
      <c r="J12" s="56">
        <v>0.97312982250168134</v>
      </c>
      <c r="K12" s="50">
        <v>5263879.4818926584</v>
      </c>
      <c r="L12" s="56">
        <v>0.75145870722033026</v>
      </c>
      <c r="M12" s="127">
        <v>0.75145870722033026</v>
      </c>
      <c r="N12" s="48">
        <v>171861.12389959607</v>
      </c>
      <c r="O12" s="52">
        <v>5581087.4823058592</v>
      </c>
      <c r="P12" s="50">
        <v>465090.62352548825</v>
      </c>
    </row>
    <row r="13" spans="1:16" x14ac:dyDescent="0.2">
      <c r="C13" s="48"/>
      <c r="D13" s="48"/>
      <c r="E13" s="127"/>
      <c r="F13" s="48"/>
      <c r="G13" s="48"/>
      <c r="H13" s="56"/>
      <c r="I13" s="56"/>
      <c r="J13" s="56"/>
      <c r="L13" s="56"/>
      <c r="M13" s="56"/>
      <c r="O13" s="52"/>
      <c r="P13" s="50"/>
    </row>
    <row r="14" spans="1:16" x14ac:dyDescent="0.2">
      <c r="A14" s="38" t="s">
        <v>107</v>
      </c>
      <c r="C14" s="48">
        <v>1545738.1124800001</v>
      </c>
      <c r="D14" s="48">
        <v>128811.50937333335</v>
      </c>
      <c r="E14" s="127">
        <v>0.21368187440078135</v>
      </c>
      <c r="F14" s="48" t="s">
        <v>105</v>
      </c>
      <c r="G14" s="48" t="s">
        <v>105</v>
      </c>
      <c r="H14" s="56">
        <v>-1.0238553532288244E-2</v>
      </c>
      <c r="I14" s="56">
        <v>-4.1329519794976274E-2</v>
      </c>
      <c r="J14" s="56">
        <v>0.94843192667273546</v>
      </c>
      <c r="K14" s="50">
        <v>1466027.376150884</v>
      </c>
      <c r="L14" s="56">
        <v>0.20928652348929694</v>
      </c>
      <c r="M14" s="127">
        <v>0.20928652348929694</v>
      </c>
      <c r="N14" s="48">
        <v>47864.529079658103</v>
      </c>
      <c r="O14" s="52">
        <v>1593602.64</v>
      </c>
      <c r="P14" s="50">
        <v>132800.22</v>
      </c>
    </row>
    <row r="15" spans="1:16" x14ac:dyDescent="0.2">
      <c r="C15" s="48"/>
      <c r="D15" s="48"/>
      <c r="E15" s="127"/>
      <c r="F15" s="48"/>
      <c r="G15" s="48"/>
      <c r="H15" s="56"/>
      <c r="I15" s="56"/>
      <c r="J15" s="56"/>
      <c r="K15" s="50"/>
      <c r="L15" s="56"/>
      <c r="M15" s="56"/>
      <c r="O15" s="52"/>
      <c r="P15" s="50"/>
    </row>
    <row r="16" spans="1:16" x14ac:dyDescent="0.2">
      <c r="A16" s="39" t="s">
        <v>60</v>
      </c>
      <c r="C16" s="48"/>
      <c r="D16" s="48"/>
      <c r="E16" s="127"/>
      <c r="F16" s="48"/>
      <c r="G16" s="48"/>
      <c r="H16" s="56"/>
      <c r="I16" s="56"/>
      <c r="J16" s="56"/>
      <c r="L16" s="56"/>
      <c r="M16" s="56"/>
      <c r="O16" s="52"/>
      <c r="P16" s="50"/>
    </row>
    <row r="17" spans="1:16" x14ac:dyDescent="0.2">
      <c r="A17" s="38" t="s">
        <v>61</v>
      </c>
      <c r="C17" s="48">
        <v>8140.2428</v>
      </c>
      <c r="D17" s="48">
        <v>678.35356666666667</v>
      </c>
      <c r="E17" s="127">
        <v>1.1253020971260879E-3</v>
      </c>
      <c r="F17" s="48" t="s">
        <v>105</v>
      </c>
      <c r="G17" s="48" t="s">
        <v>105</v>
      </c>
      <c r="H17" s="56"/>
      <c r="I17" s="56">
        <v>-1.3947220413632907E-2</v>
      </c>
      <c r="J17" s="56">
        <v>0.98605277958636706</v>
      </c>
      <c r="K17" s="50">
        <v>8026.709039447911</v>
      </c>
      <c r="L17" s="56">
        <v>1.1458735745690969E-3</v>
      </c>
      <c r="M17" s="127">
        <v>1.1458735745690969E-3</v>
      </c>
      <c r="N17" s="48">
        <v>262.06512544215116</v>
      </c>
      <c r="O17" s="52">
        <v>8402.31</v>
      </c>
      <c r="P17" s="50">
        <v>700.1925</v>
      </c>
    </row>
    <row r="18" spans="1:16" ht="15" x14ac:dyDescent="0.35">
      <c r="A18" s="38" t="s">
        <v>233</v>
      </c>
      <c r="C18" s="58">
        <v>270724.16264</v>
      </c>
      <c r="D18" s="58">
        <v>22560.346886666666</v>
      </c>
      <c r="E18" s="125">
        <v>3.7424739709421943E-2</v>
      </c>
      <c r="F18" s="58" t="s">
        <v>105</v>
      </c>
      <c r="G18" s="58" t="s">
        <v>105</v>
      </c>
      <c r="H18" s="56"/>
      <c r="I18" s="56">
        <v>-1.3947220413632907E-2</v>
      </c>
      <c r="J18" s="56">
        <v>0.98605277958636706</v>
      </c>
      <c r="K18" s="59">
        <v>266948.31307236373</v>
      </c>
      <c r="L18" s="76">
        <v>3.810889571580376E-2</v>
      </c>
      <c r="M18" s="125">
        <v>3.810889571580376E-2</v>
      </c>
      <c r="N18" s="58">
        <v>8715.6321237092507</v>
      </c>
      <c r="O18" s="60">
        <v>279439.78999999998</v>
      </c>
      <c r="P18" s="59">
        <v>23286.649166666666</v>
      </c>
    </row>
    <row r="19" spans="1:16" ht="15" x14ac:dyDescent="0.35">
      <c r="C19" s="48"/>
      <c r="D19" s="58"/>
      <c r="H19" s="56"/>
      <c r="I19" s="56"/>
      <c r="J19" s="56"/>
      <c r="K19" s="59"/>
      <c r="L19" s="56"/>
      <c r="M19" s="56"/>
      <c r="N19" s="58"/>
      <c r="O19" s="60"/>
      <c r="P19" s="60"/>
    </row>
    <row r="20" spans="1:16" ht="13.5" thickBot="1" x14ac:dyDescent="0.25">
      <c r="A20" s="64"/>
      <c r="C20" s="65">
        <v>7233828.872077453</v>
      </c>
      <c r="D20" s="65">
        <v>602819.072673121</v>
      </c>
      <c r="E20" s="67">
        <v>1</v>
      </c>
      <c r="F20" s="65">
        <v>0</v>
      </c>
      <c r="G20" s="68">
        <v>228703.35022840556</v>
      </c>
      <c r="H20" s="57"/>
      <c r="I20" s="56"/>
      <c r="J20" s="56"/>
      <c r="K20" s="65">
        <v>7004881.8801553538</v>
      </c>
      <c r="L20" s="67">
        <v>1</v>
      </c>
      <c r="M20" s="67">
        <v>1</v>
      </c>
      <c r="N20" s="85">
        <v>228703.35022840556</v>
      </c>
      <c r="O20" s="89">
        <v>7462532.2223058585</v>
      </c>
      <c r="P20" s="85">
        <v>621877.68519215495</v>
      </c>
    </row>
    <row r="21" spans="1:16" ht="13.5" thickTop="1" x14ac:dyDescent="0.2">
      <c r="A21" s="71"/>
      <c r="C21" s="71"/>
      <c r="D21" s="71"/>
      <c r="H21" s="57"/>
      <c r="I21" s="56"/>
      <c r="J21" s="56"/>
      <c r="K21" s="72"/>
      <c r="L21" s="69"/>
      <c r="M21" s="69"/>
      <c r="N21" s="73"/>
      <c r="O21" s="74"/>
      <c r="P21" s="74"/>
    </row>
    <row r="22" spans="1:16" ht="25.5" x14ac:dyDescent="0.2">
      <c r="A22" s="129" t="s">
        <v>536</v>
      </c>
      <c r="H22" s="57"/>
      <c r="I22" s="56"/>
      <c r="J22" s="56"/>
      <c r="K22" s="48"/>
      <c r="L22" s="56"/>
      <c r="M22" s="56"/>
      <c r="O22" s="52"/>
      <c r="P22" s="52"/>
    </row>
    <row r="23" spans="1:16" x14ac:dyDescent="0.2">
      <c r="K23" s="48"/>
    </row>
    <row r="24" spans="1:16" x14ac:dyDescent="0.2">
      <c r="K24" s="48"/>
    </row>
    <row r="25" spans="1:16" x14ac:dyDescent="0.2">
      <c r="I25" s="56"/>
      <c r="J25" s="56"/>
      <c r="K25" s="48"/>
      <c r="L25" s="56"/>
      <c r="M25" s="56"/>
      <c r="O25" s="52"/>
      <c r="P25" s="52"/>
    </row>
    <row r="26" spans="1:16" x14ac:dyDescent="0.2">
      <c r="I26" s="56"/>
      <c r="J26" s="56"/>
      <c r="K26" s="48"/>
      <c r="L26" s="56"/>
      <c r="M26" s="56"/>
      <c r="O26" s="52"/>
      <c r="P26" s="52"/>
    </row>
    <row r="27" spans="1:16" x14ac:dyDescent="0.2">
      <c r="I27" s="56"/>
      <c r="J27" s="56"/>
      <c r="K27" s="48"/>
      <c r="L27" s="56"/>
      <c r="M27" s="56"/>
      <c r="O27" s="52"/>
      <c r="P27" s="52"/>
    </row>
    <row r="28" spans="1:16" x14ac:dyDescent="0.2">
      <c r="I28" s="56"/>
      <c r="J28" s="56"/>
      <c r="K28" s="48"/>
      <c r="L28" s="56"/>
      <c r="M28" s="56"/>
      <c r="O28" s="52"/>
      <c r="P28" s="52"/>
    </row>
    <row r="29" spans="1:16" x14ac:dyDescent="0.2">
      <c r="I29" s="56"/>
      <c r="J29" s="56"/>
      <c r="K29" s="48"/>
      <c r="L29" s="56"/>
      <c r="M29" s="56"/>
      <c r="O29" s="52"/>
      <c r="P29" s="52"/>
    </row>
    <row r="30" spans="1:16" x14ac:dyDescent="0.2">
      <c r="I30" s="56"/>
      <c r="J30" s="56"/>
      <c r="K30" s="48"/>
      <c r="L30" s="56"/>
      <c r="M30" s="56"/>
      <c r="O30" s="52"/>
      <c r="P30" s="52"/>
    </row>
    <row r="31" spans="1:16" x14ac:dyDescent="0.2">
      <c r="I31" s="56"/>
      <c r="J31" s="56"/>
      <c r="K31" s="48"/>
      <c r="L31" s="56"/>
      <c r="M31" s="56"/>
      <c r="O31" s="52"/>
      <c r="P31" s="52"/>
    </row>
    <row r="32" spans="1:16" x14ac:dyDescent="0.2">
      <c r="I32" s="56"/>
      <c r="J32" s="56"/>
      <c r="K32" s="48"/>
      <c r="L32" s="56"/>
      <c r="M32" s="56"/>
      <c r="O32" s="52"/>
      <c r="P32" s="52"/>
    </row>
    <row r="33" spans="8:16" x14ac:dyDescent="0.2">
      <c r="I33" s="56"/>
      <c r="J33" s="56"/>
      <c r="K33" s="48"/>
      <c r="L33" s="56"/>
      <c r="M33" s="56"/>
      <c r="O33" s="52"/>
      <c r="P33" s="52"/>
    </row>
    <row r="34" spans="8:16" x14ac:dyDescent="0.2">
      <c r="I34" s="56"/>
      <c r="J34" s="56"/>
      <c r="K34" s="48"/>
      <c r="L34" s="56"/>
      <c r="M34" s="56"/>
      <c r="O34" s="52"/>
      <c r="P34" s="52"/>
    </row>
    <row r="35" spans="8:16" x14ac:dyDescent="0.2">
      <c r="I35" s="56"/>
      <c r="J35" s="56"/>
      <c r="K35" s="48"/>
      <c r="L35" s="56"/>
      <c r="M35" s="56"/>
      <c r="O35" s="52"/>
      <c r="P35" s="52"/>
    </row>
    <row r="36" spans="8:16" x14ac:dyDescent="0.2">
      <c r="I36" s="56"/>
      <c r="J36" s="56"/>
      <c r="K36" s="48"/>
      <c r="L36" s="56"/>
      <c r="M36" s="56"/>
      <c r="O36" s="52"/>
      <c r="P36" s="52"/>
    </row>
    <row r="37" spans="8:16" x14ac:dyDescent="0.2">
      <c r="I37" s="56"/>
      <c r="J37" s="56"/>
      <c r="K37" s="48"/>
      <c r="L37" s="56"/>
      <c r="M37" s="56"/>
      <c r="O37" s="52"/>
      <c r="P37" s="52"/>
    </row>
    <row r="38" spans="8:16" x14ac:dyDescent="0.2">
      <c r="I38" s="56"/>
      <c r="J38" s="56"/>
      <c r="K38" s="48"/>
      <c r="L38" s="56"/>
      <c r="M38" s="56"/>
      <c r="O38" s="52"/>
      <c r="P38" s="52"/>
    </row>
    <row r="39" spans="8:16" x14ac:dyDescent="0.2">
      <c r="I39" s="56"/>
      <c r="J39" s="56"/>
      <c r="K39" s="48"/>
      <c r="L39" s="56"/>
      <c r="M39" s="56"/>
      <c r="O39" s="52"/>
      <c r="P39" s="52"/>
    </row>
    <row r="40" spans="8:16" x14ac:dyDescent="0.2">
      <c r="I40" s="56"/>
      <c r="J40" s="56"/>
      <c r="K40" s="48"/>
      <c r="L40" s="56"/>
      <c r="M40" s="56"/>
      <c r="O40" s="52"/>
      <c r="P40" s="52"/>
    </row>
    <row r="41" spans="8:16" x14ac:dyDescent="0.2">
      <c r="I41" s="56"/>
      <c r="J41" s="56"/>
      <c r="K41" s="48"/>
      <c r="L41" s="56"/>
      <c r="M41" s="56"/>
      <c r="O41" s="52"/>
      <c r="P41" s="52"/>
    </row>
    <row r="42" spans="8:16" x14ac:dyDescent="0.2">
      <c r="I42" s="56"/>
      <c r="J42" s="56"/>
      <c r="K42" s="48"/>
      <c r="L42" s="56"/>
      <c r="M42" s="56"/>
      <c r="O42" s="52"/>
      <c r="P42" s="52"/>
    </row>
    <row r="43" spans="8:16" x14ac:dyDescent="0.2">
      <c r="I43" s="56"/>
      <c r="J43" s="56"/>
      <c r="K43" s="48"/>
      <c r="L43" s="56"/>
      <c r="M43" s="56"/>
      <c r="O43" s="52"/>
      <c r="P43" s="52"/>
    </row>
    <row r="44" spans="8:16" x14ac:dyDescent="0.2">
      <c r="K44" s="48"/>
    </row>
    <row r="45" spans="8:16" x14ac:dyDescent="0.2">
      <c r="H45" s="66"/>
      <c r="I45" s="66"/>
      <c r="J45" s="66"/>
      <c r="K45" s="73"/>
      <c r="L45" s="72"/>
      <c r="M45" s="72"/>
      <c r="N45" s="73"/>
      <c r="O45" s="74"/>
      <c r="P45" s="74"/>
    </row>
    <row r="46" spans="8:16" x14ac:dyDescent="0.2">
      <c r="H46" s="66"/>
      <c r="I46" s="66"/>
      <c r="J46" s="66"/>
      <c r="K46" s="66"/>
    </row>
  </sheetData>
  <phoneticPr fontId="0" type="noConversion"/>
  <printOptions horizontalCentered="1" verticalCentered="1"/>
  <pageMargins left="0.75" right="0.75" top="1" bottom="1" header="0.5" footer="0.5"/>
  <pageSetup scale="83" firstPageNumber="12" orientation="landscape" useFirstPageNumber="1" r:id="rId1"/>
  <headerFooter alignWithMargins="0">
    <oddHeader>&amp;CFINAL ESTIMATE - FISCAL YEAR 2015-16
NRS 360.600 through NRS 360.740</oddHeader>
    <oddFooter>&amp;LADMINISTRATIVE SERVICES DIVISION, 3/15/15
&amp;RD-&amp;P</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32</vt:i4>
      </vt:variant>
      <vt:variant>
        <vt:lpstr>Charts</vt:lpstr>
      </vt:variant>
      <vt:variant>
        <vt:i4>1</vt:i4>
      </vt:variant>
      <vt:variant>
        <vt:lpstr>Named Ranges</vt:lpstr>
      </vt:variant>
      <vt:variant>
        <vt:i4>52</vt:i4>
      </vt:variant>
    </vt:vector>
  </HeadingPairs>
  <TitlesOfParts>
    <vt:vector size="85" baseType="lpstr">
      <vt:lpstr>TITLE</vt:lpstr>
      <vt:lpstr>REV SUMMARY</vt:lpstr>
      <vt:lpstr>1TIER BCCRT</vt:lpstr>
      <vt:lpstr>1 TIER SCCRT</vt:lpstr>
      <vt:lpstr>1 TIER CIG&amp;LIQ</vt:lpstr>
      <vt:lpstr>1 TIER RPTT</vt:lpstr>
      <vt:lpstr>1 TIER MVPT</vt:lpstr>
      <vt:lpstr>CC 2 TIER</vt:lpstr>
      <vt:lpstr>CH 2 TIER</vt:lpstr>
      <vt:lpstr>CL 2 TIER</vt:lpstr>
      <vt:lpstr>DO 2 TIER</vt:lpstr>
      <vt:lpstr>EL 2 TIER</vt:lpstr>
      <vt:lpstr>ES 2 TIER</vt:lpstr>
      <vt:lpstr>EU 2 TIER</vt:lpstr>
      <vt:lpstr>HU 2 TIER</vt:lpstr>
      <vt:lpstr>LA 2 TIER</vt:lpstr>
      <vt:lpstr>LI 2 TIER</vt:lpstr>
      <vt:lpstr>LY 2 TIER</vt:lpstr>
      <vt:lpstr>MI 2 TIER</vt:lpstr>
      <vt:lpstr>NYE 2 TIER</vt:lpstr>
      <vt:lpstr>PE 2 TIER</vt:lpstr>
      <vt:lpstr>ST 2 TIER</vt:lpstr>
      <vt:lpstr>WA 2 TIER (Revised 3-27)</vt:lpstr>
      <vt:lpstr>WA IL (Revised 3-27)</vt:lpstr>
      <vt:lpstr>WP TIER 2</vt:lpstr>
      <vt:lpstr>WP IL </vt:lpstr>
      <vt:lpstr>WP 2 TIER</vt:lpstr>
      <vt:lpstr>NOTES</vt:lpstr>
      <vt:lpstr>Population</vt:lpstr>
      <vt:lpstr>Data Base</vt:lpstr>
      <vt:lpstr>BASE CALC</vt:lpstr>
      <vt:lpstr>CPI Calc</vt:lpstr>
      <vt:lpstr>Chart1</vt:lpstr>
      <vt:lpstr>'1 TIER CIG&amp;LIQ'!Print_Area</vt:lpstr>
      <vt:lpstr>'1 TIER MVPT'!Print_Area</vt:lpstr>
      <vt:lpstr>'1 TIER RPTT'!Print_Area</vt:lpstr>
      <vt:lpstr>'1 TIER SCCRT'!Print_Area</vt:lpstr>
      <vt:lpstr>'1TIER BCCRT'!Print_Area</vt:lpstr>
      <vt:lpstr>'CC 2 TIER'!Print_Area</vt:lpstr>
      <vt:lpstr>'CH 2 TIER'!Print_Area</vt:lpstr>
      <vt:lpstr>'CL 2 TIER'!Print_Area</vt:lpstr>
      <vt:lpstr>'Data Base'!Print_Area</vt:lpstr>
      <vt:lpstr>'DO 2 TIER'!Print_Area</vt:lpstr>
      <vt:lpstr>'EL 2 TIER'!Print_Area</vt:lpstr>
      <vt:lpstr>'ES 2 TIER'!Print_Area</vt:lpstr>
      <vt:lpstr>'EU 2 TIER'!Print_Area</vt:lpstr>
      <vt:lpstr>'HU 2 TIER'!Print_Area</vt:lpstr>
      <vt:lpstr>'LA 2 TIER'!Print_Area</vt:lpstr>
      <vt:lpstr>'LI 2 TIER'!Print_Area</vt:lpstr>
      <vt:lpstr>'LY 2 TIER'!Print_Area</vt:lpstr>
      <vt:lpstr>'MI 2 TIER'!Print_Area</vt:lpstr>
      <vt:lpstr>'NYE 2 TIER'!Print_Area</vt:lpstr>
      <vt:lpstr>'PE 2 TIER'!Print_Area</vt:lpstr>
      <vt:lpstr>Population!Print_Area</vt:lpstr>
      <vt:lpstr>'REV SUMMARY'!Print_Area</vt:lpstr>
      <vt:lpstr>'ST 2 TIER'!Print_Area</vt:lpstr>
      <vt:lpstr>TITLE!Print_Area</vt:lpstr>
      <vt:lpstr>'WA 2 TIER (Revised 3-27)'!Print_Area</vt:lpstr>
      <vt:lpstr>'WA IL (Revised 3-27)'!Print_Area</vt:lpstr>
      <vt:lpstr>'WP TIER 2'!Print_Area</vt:lpstr>
      <vt:lpstr>'1 TIER SCCRT'!Print_Titles</vt:lpstr>
      <vt:lpstr>'BASE CALC'!Print_Titles</vt:lpstr>
      <vt:lpstr>'CC 2 TIER'!Print_Titles</vt:lpstr>
      <vt:lpstr>'CH 2 TIER'!Print_Titles</vt:lpstr>
      <vt:lpstr>'CL 2 TIER'!Print_Titles</vt:lpstr>
      <vt:lpstr>'Data Base'!Print_Titles</vt:lpstr>
      <vt:lpstr>'DO 2 TIER'!Print_Titles</vt:lpstr>
      <vt:lpstr>'EL 2 TIER'!Print_Titles</vt:lpstr>
      <vt:lpstr>'ES 2 TIER'!Print_Titles</vt:lpstr>
      <vt:lpstr>'EU 2 TIER'!Print_Titles</vt:lpstr>
      <vt:lpstr>'HU 2 TIER'!Print_Titles</vt:lpstr>
      <vt:lpstr>'LA 2 TIER'!Print_Titles</vt:lpstr>
      <vt:lpstr>'LI 2 TIER'!Print_Titles</vt:lpstr>
      <vt:lpstr>'LY 2 TIER'!Print_Titles</vt:lpstr>
      <vt:lpstr>'MI 2 TIER'!Print_Titles</vt:lpstr>
      <vt:lpstr>'NYE 2 TIER'!Print_Titles</vt:lpstr>
      <vt:lpstr>'PE 2 TIER'!Print_Titles</vt:lpstr>
      <vt:lpstr>Population!Print_Titles</vt:lpstr>
      <vt:lpstr>'REV SUMMARY'!Print_Titles</vt:lpstr>
      <vt:lpstr>'ST 2 TIER'!Print_Titles</vt:lpstr>
      <vt:lpstr>'WA 2 TIER (Revised 3-27)'!Print_Titles</vt:lpstr>
      <vt:lpstr>'WA IL (Revised 3-27)'!Print_Titles</vt:lpstr>
      <vt:lpstr>'WP 2 TIER'!Print_Titles</vt:lpstr>
      <vt:lpstr>'WP IL '!Print_Titles</vt:lpstr>
      <vt:lpstr>'WP TIER 2'!Print_Titles</vt:lpstr>
    </vt:vector>
  </TitlesOfParts>
  <Company>Department of Taxation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Administrator</dc:creator>
  <cp:lastModifiedBy>Penny Hampton</cp:lastModifiedBy>
  <cp:lastPrinted>2015-03-27T20:49:11Z</cp:lastPrinted>
  <dcterms:created xsi:type="dcterms:W3CDTF">1997-10-15T18:25:12Z</dcterms:created>
  <dcterms:modified xsi:type="dcterms:W3CDTF">2015-03-27T21:11:06Z</dcterms:modified>
</cp:coreProperties>
</file>